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a5b0a9d8085dd976/Desktop/Documents/Laurent/Training Kedge/seminar kambiz/Seminar EU Kambiz/"/>
    </mc:Choice>
  </mc:AlternateContent>
  <xr:revisionPtr revIDLastSave="0" documentId="8_{060FCC0B-A42E-4B6D-A228-4B7975C338FD}" xr6:coauthVersionLast="47" xr6:coauthVersionMax="47" xr10:uidLastSave="{00000000-0000-0000-0000-000000000000}"/>
  <bookViews>
    <workbookView xWindow="28680" yWindow="-120" windowWidth="29040" windowHeight="15720" tabRatio="500" activeTab="3" xr2:uid="{00000000-000D-0000-FFFF-FFFF00000000}"/>
  </bookViews>
  <sheets>
    <sheet name="Inputs" sheetId="1" r:id="rId1"/>
    <sheet name="Calc" sheetId="2" r:id="rId2"/>
    <sheet name="Debrief" sheetId="3" r:id="rId3"/>
    <sheet name="Summary" sheetId="4" r:id="rId4"/>
  </sheets>
  <definedNames>
    <definedName name="BuildInH">Calc!$C$11</definedName>
    <definedName name="BuildMonths">Inputs!$C$28</definedName>
    <definedName name="CapexB">Inputs!$C$24</definedName>
    <definedName name="Carry">Inputs!$C$42</definedName>
    <definedName name="CarryA_yr">Calc!$C$20</definedName>
    <definedName name="CofundMax">Inputs!$C$27</definedName>
    <definedName name="CofundReq">Calc!$C$29</definedName>
    <definedName name="CofundSecured">Inputs!$C$26</definedName>
    <definedName name="CondBand">Inputs!$C$58</definedName>
    <definedName name="CostWk">Inputs!$C$41</definedName>
    <definedName name="DepB">Calc!$C$50</definedName>
    <definedName name="DepB_max">Calc!$C$51</definedName>
    <definedName name="DepYears">Inputs!$C$25</definedName>
    <definedName name="DirectA">Calc!$C$48</definedName>
    <definedName name="DirectB">Calc!$C$53</definedName>
    <definedName name="DirectB_max">Calc!$C$54</definedName>
    <definedName name="DisA_b">Calc!$C$55</definedName>
    <definedName name="DisA_s">Calc!$C$56</definedName>
    <definedName name="DisB_b">Calc!$C$57</definedName>
    <definedName name="DisB_s">Calc!$C$58</definedName>
    <definedName name="EBITDA_A">Calc!$C$21</definedName>
    <definedName name="EBITDA_A_carry">Calc!$C$22</definedName>
    <definedName name="EBITDA_B">Calc!$C$24</definedName>
    <definedName name="EBITDA_m">Inputs!$C$8</definedName>
    <definedName name="EBITDA0">Calc!$C$8</definedName>
    <definedName name="ExposureB">Calc!$C$42</definedName>
    <definedName name="G_Delivery">Inputs!$C$57</definedName>
    <definedName name="G_EBITDA">Inputs!$C$54</definedName>
    <definedName name="G_Inv">Inputs!$C$55</definedName>
    <definedName name="G_Supplier">Inputs!$C$56</definedName>
    <definedName name="Gap">Calc!$C$40</definedName>
    <definedName name="Gate1M">Inputs!$C$60</definedName>
    <definedName name="Gate2M">Inputs!$C$61</definedName>
    <definedName name="GerA_b">Calc!$C$59</definedName>
    <definedName name="GerA_s">Calc!$C$60</definedName>
    <definedName name="German">Inputs!$C$13</definedName>
    <definedName name="GermanMargin">Calc!$C$36</definedName>
    <definedName name="GM">Inputs!$C$9</definedName>
    <definedName name="HorizonM">Calc!$C$9</definedName>
    <definedName name="HorizonYears">Inputs!$C$50</definedName>
    <definedName name="InvA_val">Calc!$C$19</definedName>
    <definedName name="InvA_wk">Inputs!$C$20</definedName>
    <definedName name="InvB_after_wk">Inputs!$C$34</definedName>
    <definedName name="InvB_build_wk">Inputs!$C$33</definedName>
    <definedName name="LeadA">Calc!$C$33</definedName>
    <definedName name="LeadB">Calc!$C$34</definedName>
    <definedName name="LeadMax">Inputs!$C$40</definedName>
    <definedName name="LeadMin">Inputs!$C$39</definedName>
    <definedName name="LeadNorm">Inputs!$C$38</definedName>
    <definedName name="LossEvent">Calc!$C$41</definedName>
    <definedName name="M1">Calc!$C$12</definedName>
    <definedName name="M2">Calc!$C$13</definedName>
    <definedName name="M3">Calc!$C$14</definedName>
    <definedName name="MagBuf">Calc!$C$35</definedName>
    <definedName name="MagBufWk">Inputs!$C$49</definedName>
    <definedName name="MagCost">Inputs!$C$12</definedName>
    <definedName name="MagSpend">Calc!$C$7</definedName>
    <definedName name="ModCost">Inputs!$C$11</definedName>
    <definedName name="ModSpend">Calc!$C$6</definedName>
    <definedName name="NetInvB">Calc!$C$28</definedName>
    <definedName name="PdisBase">Inputs!$C$43</definedName>
    <definedName name="PdisStress">Inputs!$C$44</definedName>
    <definedName name="PlvBase">Inputs!$C$45</definedName>
    <definedName name="PlvStress">Inputs!$C$46</definedName>
    <definedName name="PreBase">Inputs!$C$47</definedName>
    <definedName name="PremA">Inputs!$C$18</definedName>
    <definedName name="PremA_tot">Calc!$C$46</definedName>
    <definedName name="PremA_yr">Calc!$C$18</definedName>
    <definedName name="PremB_tot">Calc!$C$49</definedName>
    <definedName name="PremB1">Inputs!$C$29</definedName>
    <definedName name="PremB1_yr">Calc!$C$23</definedName>
    <definedName name="PremB2">Inputs!$C$30</definedName>
    <definedName name="PremB3">Inputs!$C$31</definedName>
    <definedName name="PreStress">Inputs!$C$48</definedName>
    <definedName name="ProdM">Calc!$C$10</definedName>
    <definedName name="QualA">Inputs!$C$17</definedName>
    <definedName name="Reco">Calc!$C$83</definedName>
    <definedName name="Rev">Inputs!$C$7</definedName>
    <definedName name="SplitA">Inputs!$C$19</definedName>
    <definedName name="SplitB">Inputs!$C$32</definedName>
    <definedName name="St_D_A">Calc!$C$76</definedName>
    <definedName name="St_D_B">Calc!$C$77</definedName>
    <definedName name="St_E_A">Calc!$C$70</definedName>
    <definedName name="St_E_B">Calc!$C$71</definedName>
    <definedName name="St_I_A">Calc!$C$72</definedName>
    <definedName name="St_I_B">Calc!$C$73</definedName>
    <definedName name="St_S_A">Calc!$C$74</definedName>
    <definedName name="St_S_B">Calc!$C$75</definedName>
    <definedName name="StockA">Calc!$C$47</definedName>
    <definedName name="StockB">Calc!$C$52</definedName>
    <definedName name="TotA_b">Calc!$C$61</definedName>
    <definedName name="TotA_s">Calc!$C$62</definedName>
    <definedName name="TotB_b">Calc!$C$63</definedName>
    <definedName name="TotB_b_max">Calc!$C$65</definedName>
    <definedName name="TotB_s">Calc!$C$64</definedName>
    <definedName name="TotB_s_max">Calc!$C$66</definedName>
    <definedName name="TriggerWk">Inputs!$C$59</definedName>
    <definedName name="Units">Inputs!$C$10</definedName>
    <definedName name="WinBase">Calc!$C$81</definedName>
    <definedName name="WinStress">Calc!$C$82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1" i="4" l="1"/>
  <c r="C8" i="4"/>
  <c r="B8" i="4"/>
  <c r="J7" i="4"/>
  <c r="H7" i="4"/>
  <c r="G7" i="4"/>
  <c r="B7" i="4"/>
  <c r="I6" i="4"/>
  <c r="H6" i="4"/>
  <c r="G6" i="4"/>
  <c r="C6" i="4"/>
  <c r="B6" i="4"/>
  <c r="B5" i="4"/>
  <c r="B14" i="3"/>
  <c r="F8" i="3"/>
  <c r="B8" i="3"/>
  <c r="F7" i="3"/>
  <c r="E7" i="3"/>
  <c r="B7" i="3"/>
  <c r="E6" i="3"/>
  <c r="B6" i="3"/>
  <c r="F5" i="3"/>
  <c r="B5" i="3"/>
  <c r="C77" i="2"/>
  <c r="D8" i="3" s="1"/>
  <c r="C72" i="2"/>
  <c r="C6" i="3" s="1"/>
  <c r="C51" i="2"/>
  <c r="C50" i="2"/>
  <c r="J6" i="4" s="1"/>
  <c r="C41" i="2"/>
  <c r="C56" i="2" s="1"/>
  <c r="C40" i="2"/>
  <c r="C76" i="2" s="1"/>
  <c r="C36" i="2"/>
  <c r="C60" i="2" s="1"/>
  <c r="C34" i="2"/>
  <c r="C75" i="2" s="1"/>
  <c r="C33" i="2"/>
  <c r="C74" i="2" s="1"/>
  <c r="C29" i="2"/>
  <c r="D6" i="4" s="1"/>
  <c r="C28" i="2"/>
  <c r="C11" i="2"/>
  <c r="C42" i="2" s="1"/>
  <c r="C9" i="2"/>
  <c r="C10" i="2" s="1"/>
  <c r="C8" i="2"/>
  <c r="C5" i="4" s="1"/>
  <c r="C7" i="2"/>
  <c r="C6" i="2"/>
  <c r="C49" i="2" s="1"/>
  <c r="J5" i="4" s="1"/>
  <c r="C58" i="2" l="1"/>
  <c r="C57" i="2"/>
  <c r="C13" i="2"/>
  <c r="C12" i="2"/>
  <c r="C14" i="2"/>
  <c r="C54" i="2"/>
  <c r="E7" i="4"/>
  <c r="C7" i="3"/>
  <c r="F7" i="4"/>
  <c r="D7" i="3"/>
  <c r="C8" i="3"/>
  <c r="E8" i="4"/>
  <c r="C35" i="2"/>
  <c r="D7" i="4" s="1"/>
  <c r="D8" i="4"/>
  <c r="F6" i="3"/>
  <c r="C52" i="2"/>
  <c r="C18" i="2"/>
  <c r="C19" i="2"/>
  <c r="C20" i="2" s="1"/>
  <c r="C47" i="2" s="1"/>
  <c r="C55" i="2"/>
  <c r="G8" i="4" s="1"/>
  <c r="C7" i="4"/>
  <c r="F8" i="4"/>
  <c r="E6" i="4"/>
  <c r="C73" i="2"/>
  <c r="C23" i="2"/>
  <c r="C59" i="2"/>
  <c r="I7" i="4" s="1"/>
  <c r="C24" i="2"/>
  <c r="I8" i="4" l="1"/>
  <c r="C46" i="2"/>
  <c r="C22" i="2"/>
  <c r="G5" i="4" s="1"/>
  <c r="C21" i="2"/>
  <c r="C70" i="2" s="1"/>
  <c r="D5" i="4"/>
  <c r="C66" i="2"/>
  <c r="D14" i="3" s="1"/>
  <c r="C65" i="2"/>
  <c r="C14" i="3" s="1"/>
  <c r="J8" i="4"/>
  <c r="C71" i="2"/>
  <c r="H5" i="4"/>
  <c r="C53" i="2"/>
  <c r="H8" i="4"/>
  <c r="F6" i="4"/>
  <c r="D6" i="3"/>
  <c r="C64" i="2" l="1"/>
  <c r="D13" i="3" s="1"/>
  <c r="C63" i="2"/>
  <c r="E5" i="3"/>
  <c r="D5" i="3"/>
  <c r="F5" i="4"/>
  <c r="C5" i="3"/>
  <c r="E5" i="4"/>
  <c r="C48" i="2"/>
  <c r="I5" i="4"/>
  <c r="C61" i="2" l="1"/>
  <c r="C62" i="2"/>
  <c r="J9" i="4"/>
  <c r="C13" i="3"/>
  <c r="I9" i="4" l="1"/>
  <c r="C12" i="3"/>
  <c r="C81" i="2"/>
  <c r="C83" i="2"/>
  <c r="C19" i="3" s="1"/>
  <c r="E8" i="3"/>
  <c r="C82" i="2"/>
  <c r="C18" i="3" s="1"/>
  <c r="D12" i="3"/>
  <c r="B12" i="4" l="1"/>
  <c r="C17" i="3"/>
</calcChain>
</file>

<file path=xl/sharedStrings.xml><?xml version="1.0" encoding="utf-8"?>
<sst xmlns="http://schemas.openxmlformats.org/spreadsheetml/2006/main" count="282" uniqueCount="211">
  <si>
    <t>NEXT business case: hypotheses</t>
  </si>
  <si>
    <t>Edit the blue cells on yellow background. All other sheets recalculate automatically. Values from the NEXT case slides (fictional company).</t>
  </si>
  <si>
    <t>Company</t>
  </si>
  <si>
    <t>Hypothesis</t>
  </si>
  <si>
    <t>Value</t>
  </si>
  <si>
    <t>Source / note</t>
  </si>
  <si>
    <t>Annual revenue (€m)</t>
  </si>
  <si>
    <t>Annex 1</t>
  </si>
  <si>
    <t>EBITDA margin</t>
  </si>
  <si>
    <t>Gross margin</t>
  </si>
  <si>
    <t>Units sold per year</t>
  </si>
  <si>
    <t>Module cost per unit (€)</t>
  </si>
  <si>
    <t>Magnet cost per unit (€)</t>
  </si>
  <si>
    <t>German contracts at risk (€m)</t>
  </si>
  <si>
    <t>Business case</t>
  </si>
  <si>
    <t>Option A · Diversify in Asia</t>
  </si>
  <si>
    <t>Supplier qualification cost (€m)</t>
  </si>
  <si>
    <t>Annex 2</t>
  </si>
  <si>
    <t>Module unit-cost premium</t>
  </si>
  <si>
    <t>Lead supplier share</t>
  </si>
  <si>
    <t>Module stock (weeks)</t>
  </si>
  <si>
    <t>Option B · Build European capability</t>
  </si>
  <si>
    <t>Capex (€m)</t>
  </si>
  <si>
    <t>Depreciation period (years)</t>
  </si>
  <si>
    <t>Co-funding secured</t>
  </si>
  <si>
    <t>Scenario lever</t>
  </si>
  <si>
    <t>Maximum co-funding available</t>
  </si>
  <si>
    <t>Months to become operational</t>
  </si>
  <si>
    <t>Premium, 1st production year</t>
  </si>
  <si>
    <t>Premium, 2nd production year</t>
  </si>
  <si>
    <t>Premium, afterwards</t>
  </si>
  <si>
    <t>European share of supply</t>
  </si>
  <si>
    <t>Stock during build (weeks)</t>
  </si>
  <si>
    <t>Stock once operational (weeks)</t>
  </si>
  <si>
    <t>Risks and costs</t>
  </si>
  <si>
    <t>Normal lead time (weeks)</t>
  </si>
  <si>
    <t>Disrupted lead time, low (weeks)</t>
  </si>
  <si>
    <t>Disrupted lead time, high (weeks)</t>
  </si>
  <si>
    <t>Uncovered disruption cost (€m / week)</t>
  </si>
  <si>
    <t>Annex 3</t>
  </si>
  <si>
    <t>Inventory carrying cost (per year)</t>
  </si>
  <si>
    <t>Maritime disruption, base</t>
  </si>
  <si>
    <t>Maritime disruption, stress</t>
  </si>
  <si>
    <t>German customers leave, base</t>
  </si>
  <si>
    <t>German customers leave, stress</t>
  </si>
  <si>
    <t>Rare-earth restrictions, base</t>
  </si>
  <si>
    <t>Rare-earth restrictions, stress</t>
  </si>
  <si>
    <t>Magnet buffer (weeks)</t>
  </si>
  <si>
    <t>Horizon (years)</t>
  </si>
  <si>
    <t>Annex 6</t>
  </si>
  <si>
    <t>Guardrails and gates</t>
  </si>
  <si>
    <t>Minimum EBITDA margin</t>
  </si>
  <si>
    <t>Board guardrail 1</t>
  </si>
  <si>
    <t>Max investment without co-funding (€m)</t>
  </si>
  <si>
    <t>Board guardrail 2</t>
  </si>
  <si>
    <t>Max share of one supplier</t>
  </si>
  <si>
    <t>Board guardrail 3</t>
  </si>
  <si>
    <t>Minimum delivery reliability</t>
  </si>
  <si>
    <t>Board guardrail 4</t>
  </si>
  <si>
    <t>Conditional band above EBITDA floor</t>
  </si>
  <si>
    <t>Assumption: within 1 pt = Conditional</t>
  </si>
  <si>
    <t>Disruption trigger (weeks)</t>
  </si>
  <si>
    <t>Decision slide</t>
  </si>
  <si>
    <t>Gate 1 month</t>
  </si>
  <si>
    <t>Gate 2 month</t>
  </si>
  <si>
    <t>Calculations (do not edit)</t>
  </si>
  <si>
    <t>Base figures</t>
  </si>
  <si>
    <t>Item</t>
  </si>
  <si>
    <t>Formula</t>
  </si>
  <si>
    <t>Module spend per year (€m)</t>
  </si>
  <si>
    <t>Units*ModCost/1000000</t>
  </si>
  <si>
    <t>Magnet spend per year (€m)</t>
  </si>
  <si>
    <t>Units*MagCost/1000000</t>
  </si>
  <si>
    <t>Current EBITDA (€m)</t>
  </si>
  <si>
    <t>Rev*EBITDA_m</t>
  </si>
  <si>
    <t>Horizon (months)</t>
  </si>
  <si>
    <t>HorizonYears*12</t>
  </si>
  <si>
    <t>Months of European production within horizon</t>
  </si>
  <si>
    <t>MAX(0,HorizonM-BuildMonths)</t>
  </si>
  <si>
    <t>Build months within horizon</t>
  </si>
  <si>
    <t>MIN(BuildMonths,HorizonM)</t>
  </si>
  <si>
    <t>Production months at 1st-year premium</t>
  </si>
  <si>
    <t>MIN(12,ProdM)</t>
  </si>
  <si>
    <t>Production months at 2nd-year premium</t>
  </si>
  <si>
    <t>MIN(12,MAX(0,ProdM-12))</t>
  </si>
  <si>
    <t>Production months at later premium</t>
  </si>
  <si>
    <t>MAX(0,ProdM-24)</t>
  </si>
  <si>
    <t>1. Economic viability</t>
  </si>
  <si>
    <t>A: annual module premium (€m)</t>
  </si>
  <si>
    <t>PremA*ModSpend</t>
  </si>
  <si>
    <t>A: stock value (€m)</t>
  </si>
  <si>
    <t>InvA_wk/52*ModSpend</t>
  </si>
  <si>
    <t>A: annual carrying cost (€m)</t>
  </si>
  <si>
    <t>InvA_val*Carry</t>
  </si>
  <si>
    <t>A: EBITDA margin</t>
  </si>
  <si>
    <t>(EBITDA0-PremA_yr)/Rev</t>
  </si>
  <si>
    <t>A: EBITDA margin incl. carrying cost</t>
  </si>
  <si>
    <t>(EBITDA0-PremA_yr-CarryA_yr)/Rev</t>
  </si>
  <si>
    <t>B: module premium, 1st production year (€m)</t>
  </si>
  <si>
    <t>PremB1*ModSpend</t>
  </si>
  <si>
    <t>B: EBITDA margin, 1st production year</t>
  </si>
  <si>
    <t>(EBITDA0-PremB1_yr)/Rev</t>
  </si>
  <si>
    <t>2. Investment capacity</t>
  </si>
  <si>
    <t>B: net investment after secured co-funding (€m)</t>
  </si>
  <si>
    <t>CapexB*(1-CofundSecured)</t>
  </si>
  <si>
    <t>B: co-funding required to meet guardrail 2</t>
  </si>
  <si>
    <t>MAX(0,1-G_Inv/CapexB)</t>
  </si>
  <si>
    <t>3. Critical dependency</t>
  </si>
  <si>
    <t>A: largest supplier share</t>
  </si>
  <si>
    <t>MAX(SplitA,1-SplitA)</t>
  </si>
  <si>
    <t>B: largest supplier share</t>
  </si>
  <si>
    <t>MAX(SplitB,1-SplitB)</t>
  </si>
  <si>
    <t>Magnet buffer value (€m)</t>
  </si>
  <si>
    <t>MagSpend*MagBufWk/52</t>
  </si>
  <si>
    <t>German margin at risk (€m)</t>
  </si>
  <si>
    <t>German*GM</t>
  </si>
  <si>
    <t>4. Delivery reliability</t>
  </si>
  <si>
    <t>Average uncovered gap (weeks)</t>
  </si>
  <si>
    <t>MAX(0,(LeadMin+LeadMax)/2-InvA_wk)</t>
  </si>
  <si>
    <t>Loss per uncovered disruption (€m)</t>
  </si>
  <si>
    <t>Gap*CostWk</t>
  </si>
  <si>
    <t>B: share of horizon exposed (build phase)</t>
  </si>
  <si>
    <t>BuildInH/HorizonM</t>
  </si>
  <si>
    <t>Three-year expected cost (€m)</t>
  </si>
  <si>
    <t>A: module premium</t>
  </si>
  <si>
    <t>PremA_yr*HorizonYears</t>
  </si>
  <si>
    <t>A: stock carrying cost</t>
  </si>
  <si>
    <t>CarryA_yr*HorizonYears</t>
  </si>
  <si>
    <t>A: direct costs</t>
  </si>
  <si>
    <t>QualA+PremA_tot+StockA</t>
  </si>
  <si>
    <t>B: module premium</t>
  </si>
  <si>
    <t>ModSpend*(PremB1*M1+PremB2*M2+PremB3*M3)/12</t>
  </si>
  <si>
    <t>B: depreciation (secured co-funding)</t>
  </si>
  <si>
    <t>CapexB*(1-CofundSecured)/DepYears*HorizonYears</t>
  </si>
  <si>
    <t>B: depreciation (maximum co-funding)</t>
  </si>
  <si>
    <t>CapexB*(1-CofundMax)/DepYears*HorizonYears</t>
  </si>
  <si>
    <t>B: stock carrying cost</t>
  </si>
  <si>
    <t>ModSpend*Carry*(InvB_build_wk/52*BuildInH/12+InvB_after_wk/52*ProdM/12)</t>
  </si>
  <si>
    <t>B: direct costs</t>
  </si>
  <si>
    <t>DepB+PremB_tot+StockB</t>
  </si>
  <si>
    <t>B: direct costs (maximum co-funding)</t>
  </si>
  <si>
    <t>DepB_max+PremB_tot+StockB</t>
  </si>
  <si>
    <t>A: disruption loss, base</t>
  </si>
  <si>
    <t>PdisBase*LossEvent</t>
  </si>
  <si>
    <t>A: disruption loss, stress</t>
  </si>
  <si>
    <t>PdisStress*LossEvent</t>
  </si>
  <si>
    <t>B: disruption loss, base</t>
  </si>
  <si>
    <t>PdisBase*ExposureB*LossEvent</t>
  </si>
  <si>
    <t>B: disruption loss, stress</t>
  </si>
  <si>
    <t>PdisStress*ExposureB*LossEvent</t>
  </si>
  <si>
    <t>A: German contract loss, base</t>
  </si>
  <si>
    <t>PlvBase*GermanMargin</t>
  </si>
  <si>
    <t>A: German contract loss, stress</t>
  </si>
  <si>
    <t>PlvStress*GermanMargin</t>
  </si>
  <si>
    <t>A: total, base</t>
  </si>
  <si>
    <t>DirectA+DisA_b+GerA_b</t>
  </si>
  <si>
    <t>A: total, stress</t>
  </si>
  <si>
    <t>DirectA+DisA_s+GerA_s</t>
  </si>
  <si>
    <t>B: total, base</t>
  </si>
  <si>
    <t>DirectB+DisB_b</t>
  </si>
  <si>
    <t>B: total, stress</t>
  </si>
  <si>
    <t>DirectB+DisB_s</t>
  </si>
  <si>
    <t>B: total, base (maximum co-funding)</t>
  </si>
  <si>
    <t>DirectB_max+DisB_b</t>
  </si>
  <si>
    <t>B: total, stress (maximum co-funding)</t>
  </si>
  <si>
    <t>DirectB_max+DisB_s</t>
  </si>
  <si>
    <t>Status (Pass / Conditional / Fail)</t>
  </si>
  <si>
    <t>A: EBITDA</t>
  </si>
  <si>
    <t>IF(EBITDA_A&lt;G_EBITDA,"Fail",IF(EBITDA_A&lt;G_EBITDA+CondBand,"Conditional","Pass"))</t>
  </si>
  <si>
    <t>B: EBITDA</t>
  </si>
  <si>
    <t>IF(EBITDA_B&lt;G_EBITDA,"Fail",IF(EBITDA_B&lt;G_EBITDA+CondBand,"Conditional","Pass"))</t>
  </si>
  <si>
    <t>A: investment</t>
  </si>
  <si>
    <t>IF(QualA&lt;=G_Inv,"Pass","Fail")</t>
  </si>
  <si>
    <t>B: investment</t>
  </si>
  <si>
    <t>IF(NetInvB&lt;=G_Inv,"Pass",IF(CofundReq&lt;=CofundMax,"Conditional","Fail"))</t>
  </si>
  <si>
    <t>A: supplier share</t>
  </si>
  <si>
    <t>IF(LeadA&lt;=G_Supplier,"Pass","Fail")</t>
  </si>
  <si>
    <t>B: supplier share</t>
  </si>
  <si>
    <t>IF(LeadB&lt;=G_Supplier,"Pass","Fail")</t>
  </si>
  <si>
    <t>A: delivery</t>
  </si>
  <si>
    <t>IF(Gap&lt;=0,"Pass","Conditional")</t>
  </si>
  <si>
    <t>B: delivery</t>
  </si>
  <si>
    <t>IF(BuildMonths&lt;=0,"Pass","Conditional")</t>
  </si>
  <si>
    <t>Indicators</t>
  </si>
  <si>
    <t>Cheaper option, base case</t>
  </si>
  <si>
    <t>IF(TotA_b&lt;=TotB_b,"Option A","Option B")</t>
  </si>
  <si>
    <t>Cheaper option, stress case</t>
  </si>
  <si>
    <t>IF(TotA_s&lt;=TotB_s,"Option A","Option B")</t>
  </si>
  <si>
    <t>Recommendation</t>
  </si>
  <si>
    <t>IF(AND(TotA_b&lt;=TotB_b,TotA_s&gt;TotB_s),"Staged: Option A now, Option B by KPI gates",IF(AND(TotA_b&lt;=TotB_b,TotA_s&lt;=TotB_s),"Option A: cheaper in both scenarios",IF(St_I_B="Fail","Option B preferred, but blocked by guardrail 2","Option B: cheaper in both scenarios")))</t>
  </si>
  <si>
    <t>Debrief: close in the base case, clear under stress</t>
  </si>
  <si>
    <t>Guardrail</t>
  </si>
  <si>
    <t>Option A</t>
  </si>
  <si>
    <t>Option B</t>
  </si>
  <si>
    <t>Stress test</t>
  </si>
  <si>
    <t>Gate / trigger</t>
  </si>
  <si>
    <t>Base case</t>
  </si>
  <si>
    <t>Stress case</t>
  </si>
  <si>
    <t>Cheaper in base case</t>
  </si>
  <si>
    <t>Cheaper in stress case</t>
  </si>
  <si>
    <t>Decision: commit in stages, not all at once.</t>
  </si>
  <si>
    <t>Summary by guardrail: hypotheses, calculations, KPIs, stress tests and costs</t>
  </si>
  <si>
    <t>Hypotheses</t>
  </si>
  <si>
    <t>Calculations</t>
  </si>
  <si>
    <t>KPI A</t>
  </si>
  <si>
    <t>KPI B</t>
  </si>
  <si>
    <t>Stress A</t>
  </si>
  <si>
    <t>Stress B</t>
  </si>
  <si>
    <t>Cost A (base / stress)</t>
  </si>
  <si>
    <t>Cost B (base / stress)</t>
  </si>
  <si>
    <t>Total: three-year expected cost (base / stress)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</si>
</sst>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\€0.0\m"/>
  </numFmts>
  <fonts count="15" x14ac:knownFonts="1">
    <font>
      <sz val="11"/>
      <color theme="1"/>
      <name val="Calibri"/>
      <family val="2"/>
      <charset val="1"/>
    </font>
    <font>
      <b/>
      <sz val="16"/>
      <color rgb="FF142D46"/>
      <name val="Arial"/>
      <family val="2"/>
    </font>
    <font>
      <i/>
      <sz val="10"/>
      <color rgb="FF5A6570"/>
      <name val="Arial"/>
      <family val="2"/>
    </font>
    <font>
      <b/>
      <sz val="12"/>
      <color rgb="FF142D46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rgb="FF0000FF"/>
      <name val="Arial"/>
      <family val="2"/>
    </font>
    <font>
      <sz val="10"/>
      <color rgb="FF5A6570"/>
      <name val="Arial"/>
      <family val="2"/>
    </font>
    <font>
      <sz val="9"/>
      <color rgb="FF5A6570"/>
      <name val="Arial"/>
      <family val="2"/>
    </font>
    <font>
      <b/>
      <sz val="10"/>
      <color rgb="FF000000"/>
      <name val="Arial"/>
      <family val="2"/>
    </font>
    <font>
      <i/>
      <sz val="11"/>
      <color rgb="FF5A657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5A6570"/>
      <name val="Arial"/>
      <family val="2"/>
    </font>
    <font>
      <b/>
      <sz val="11"/>
      <color rgb="FF142D4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42D46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3F6F9"/>
        <bgColor rgb="FFFFFFFF"/>
      </patternFill>
    </fill>
    <fill>
      <patternFill patternType="solid">
        <fgColor rgb="FFDCE8F4"/>
        <bgColor rgb="FFE2F0D9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9" fillId="5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9" fontId="6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166" fontId="9" fillId="4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</cellXfs>
  <cellStyles count="1">
    <cellStyle name="Normal" xfId="0" builtinId="0"/>
  </cellStyles>
  <dxfs count="6">
    <dxf>
      <font>
        <b/>
        <color rgb="FFC0392B"/>
        <name val="Arial"/>
        <charset val="1"/>
      </font>
      <fill>
        <patternFill>
          <bgColor rgb="FFFDE2E1"/>
        </patternFill>
      </fill>
    </dxf>
    <dxf>
      <font>
        <b/>
        <color rgb="FF9C6500"/>
        <name val="Arial"/>
        <charset val="1"/>
      </font>
      <fill>
        <patternFill>
          <bgColor rgb="FFFFF2CC"/>
        </patternFill>
      </fill>
    </dxf>
    <dxf>
      <font>
        <b/>
        <color rgb="FF2E7D32"/>
        <name val="Arial"/>
        <charset val="1"/>
      </font>
      <fill>
        <patternFill>
          <bgColor rgb="FFE2F0D9"/>
        </patternFill>
      </fill>
    </dxf>
    <dxf>
      <font>
        <b/>
        <color rgb="FFC0392B"/>
        <name val="Arial"/>
        <charset val="1"/>
      </font>
      <fill>
        <patternFill>
          <bgColor rgb="FFFDE2E1"/>
        </patternFill>
      </fill>
    </dxf>
    <dxf>
      <font>
        <b/>
        <color rgb="FF9C6500"/>
        <name val="Arial"/>
        <charset val="1"/>
      </font>
      <fill>
        <patternFill>
          <bgColor rgb="FFFFF2CC"/>
        </patternFill>
      </fill>
    </dxf>
    <dxf>
      <font>
        <b/>
        <color rgb="FF2E7D32"/>
        <name val="Arial"/>
        <charset val="1"/>
      </font>
      <fill>
        <patternFill>
          <bgColor rgb="FFE2F0D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500"/>
      <rgbColor rgb="FF800080"/>
      <rgbColor rgb="FF008080"/>
      <rgbColor rgb="FFC0C0C0"/>
      <rgbColor rgb="FF808080"/>
      <rgbColor rgb="FF9999FF"/>
      <rgbColor rgb="FF993366"/>
      <rgbColor rgb="FFFFF2CC"/>
      <rgbColor rgb="FFDCE8F4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6F9"/>
      <rgbColor rgb="FFE2F0D9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A6570"/>
      <rgbColor rgb="FF969696"/>
      <rgbColor rgb="FF142D46"/>
      <rgbColor rgb="FF2E7D32"/>
      <rgbColor rgb="FF003300"/>
      <rgbColor rgb="FF333300"/>
      <rgbColor rgb="FFC0392B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61"/>
  <sheetViews>
    <sheetView showGridLines="0" zoomScaleNormal="100" workbookViewId="0"/>
  </sheetViews>
  <sheetFormatPr defaultColWidth="8.6640625" defaultRowHeight="14.4" x14ac:dyDescent="0.3"/>
  <cols>
    <col min="1" max="1" width="2" customWidth="1"/>
    <col min="2" max="2" width="42" customWidth="1"/>
    <col min="3" max="3" width="14" customWidth="1"/>
    <col min="4" max="4" width="36" customWidth="1"/>
  </cols>
  <sheetData>
    <row r="2" spans="2:4" ht="21" x14ac:dyDescent="0.4">
      <c r="B2" s="4" t="s">
        <v>0</v>
      </c>
    </row>
    <row r="3" spans="2:4" x14ac:dyDescent="0.3">
      <c r="B3" s="5" t="s">
        <v>1</v>
      </c>
    </row>
    <row r="5" spans="2:4" ht="15.6" x14ac:dyDescent="0.3">
      <c r="B5" s="6" t="s">
        <v>2</v>
      </c>
    </row>
    <row r="6" spans="2:4" x14ac:dyDescent="0.3">
      <c r="B6" s="7" t="s">
        <v>3</v>
      </c>
      <c r="C6" s="7" t="s">
        <v>4</v>
      </c>
      <c r="D6" s="7" t="s">
        <v>5</v>
      </c>
    </row>
    <row r="7" spans="2:4" x14ac:dyDescent="0.3">
      <c r="B7" s="8" t="s">
        <v>6</v>
      </c>
      <c r="C7" s="9">
        <v>80</v>
      </c>
      <c r="D7" s="10" t="s">
        <v>7</v>
      </c>
    </row>
    <row r="8" spans="2:4" x14ac:dyDescent="0.3">
      <c r="B8" s="8" t="s">
        <v>8</v>
      </c>
      <c r="C8" s="11">
        <v>0.12</v>
      </c>
      <c r="D8" s="10" t="s">
        <v>7</v>
      </c>
    </row>
    <row r="9" spans="2:4" x14ac:dyDescent="0.3">
      <c r="B9" s="8" t="s">
        <v>9</v>
      </c>
      <c r="C9" s="12">
        <v>0.45</v>
      </c>
      <c r="D9" s="10" t="s">
        <v>7</v>
      </c>
    </row>
    <row r="10" spans="2:4" x14ac:dyDescent="0.3">
      <c r="B10" s="8" t="s">
        <v>10</v>
      </c>
      <c r="C10" s="13">
        <v>2000</v>
      </c>
      <c r="D10" s="10" t="s">
        <v>7</v>
      </c>
    </row>
    <row r="11" spans="2:4" x14ac:dyDescent="0.3">
      <c r="B11" s="8" t="s">
        <v>11</v>
      </c>
      <c r="C11" s="13">
        <v>6600</v>
      </c>
      <c r="D11" s="10" t="s">
        <v>7</v>
      </c>
    </row>
    <row r="12" spans="2:4" x14ac:dyDescent="0.3">
      <c r="B12" s="8" t="s">
        <v>12</v>
      </c>
      <c r="C12" s="13">
        <v>1760</v>
      </c>
      <c r="D12" s="10" t="s">
        <v>7</v>
      </c>
    </row>
    <row r="13" spans="2:4" x14ac:dyDescent="0.3">
      <c r="B13" s="8" t="s">
        <v>13</v>
      </c>
      <c r="C13" s="9">
        <v>8</v>
      </c>
      <c r="D13" s="10" t="s">
        <v>14</v>
      </c>
    </row>
    <row r="15" spans="2:4" ht="15.6" x14ac:dyDescent="0.3">
      <c r="B15" s="6" t="s">
        <v>15</v>
      </c>
    </row>
    <row r="16" spans="2:4" x14ac:dyDescent="0.3">
      <c r="B16" s="7" t="s">
        <v>3</v>
      </c>
      <c r="C16" s="7" t="s">
        <v>4</v>
      </c>
      <c r="D16" s="7" t="s">
        <v>5</v>
      </c>
    </row>
    <row r="17" spans="2:4" x14ac:dyDescent="0.3">
      <c r="B17" s="8" t="s">
        <v>16</v>
      </c>
      <c r="C17" s="9">
        <v>0.8</v>
      </c>
      <c r="D17" s="10" t="s">
        <v>17</v>
      </c>
    </row>
    <row r="18" spans="2:4" x14ac:dyDescent="0.3">
      <c r="B18" s="8" t="s">
        <v>18</v>
      </c>
      <c r="C18" s="11">
        <v>0.02</v>
      </c>
      <c r="D18" s="10" t="s">
        <v>17</v>
      </c>
    </row>
    <row r="19" spans="2:4" x14ac:dyDescent="0.3">
      <c r="B19" s="8" t="s">
        <v>19</v>
      </c>
      <c r="C19" s="12">
        <v>0.6</v>
      </c>
      <c r="D19" s="10" t="s">
        <v>17</v>
      </c>
    </row>
    <row r="20" spans="2:4" x14ac:dyDescent="0.3">
      <c r="B20" s="8" t="s">
        <v>20</v>
      </c>
      <c r="C20" s="13">
        <v>10</v>
      </c>
      <c r="D20" s="10" t="s">
        <v>17</v>
      </c>
    </row>
    <row r="22" spans="2:4" ht="15.6" x14ac:dyDescent="0.3">
      <c r="B22" s="6" t="s">
        <v>21</v>
      </c>
    </row>
    <row r="23" spans="2:4" x14ac:dyDescent="0.3">
      <c r="B23" s="7" t="s">
        <v>3</v>
      </c>
      <c r="C23" s="7" t="s">
        <v>4</v>
      </c>
      <c r="D23" s="7" t="s">
        <v>5</v>
      </c>
    </row>
    <row r="24" spans="2:4" x14ac:dyDescent="0.3">
      <c r="B24" s="8" t="s">
        <v>22</v>
      </c>
      <c r="C24" s="9">
        <v>6</v>
      </c>
      <c r="D24" s="10" t="s">
        <v>17</v>
      </c>
    </row>
    <row r="25" spans="2:4" x14ac:dyDescent="0.3">
      <c r="B25" s="8" t="s">
        <v>23</v>
      </c>
      <c r="C25" s="13">
        <v>6</v>
      </c>
      <c r="D25" s="10" t="s">
        <v>17</v>
      </c>
    </row>
    <row r="26" spans="2:4" x14ac:dyDescent="0.3">
      <c r="B26" s="8" t="s">
        <v>24</v>
      </c>
      <c r="C26" s="12">
        <v>0</v>
      </c>
      <c r="D26" s="10" t="s">
        <v>25</v>
      </c>
    </row>
    <row r="27" spans="2:4" x14ac:dyDescent="0.3">
      <c r="B27" s="8" t="s">
        <v>26</v>
      </c>
      <c r="C27" s="12">
        <v>0.3</v>
      </c>
      <c r="D27" s="10" t="s">
        <v>17</v>
      </c>
    </row>
    <row r="28" spans="2:4" x14ac:dyDescent="0.3">
      <c r="B28" s="8" t="s">
        <v>27</v>
      </c>
      <c r="C28" s="13">
        <v>15</v>
      </c>
      <c r="D28" s="10" t="s">
        <v>17</v>
      </c>
    </row>
    <row r="29" spans="2:4" x14ac:dyDescent="0.3">
      <c r="B29" s="8" t="s">
        <v>28</v>
      </c>
      <c r="C29" s="11">
        <v>0.12</v>
      </c>
      <c r="D29" s="10" t="s">
        <v>17</v>
      </c>
    </row>
    <row r="30" spans="2:4" x14ac:dyDescent="0.3">
      <c r="B30" s="8" t="s">
        <v>29</v>
      </c>
      <c r="C30" s="11">
        <v>0.08</v>
      </c>
      <c r="D30" s="10" t="s">
        <v>17</v>
      </c>
    </row>
    <row r="31" spans="2:4" x14ac:dyDescent="0.3">
      <c r="B31" s="8" t="s">
        <v>30</v>
      </c>
      <c r="C31" s="11">
        <v>0.05</v>
      </c>
      <c r="D31" s="10" t="s">
        <v>17</v>
      </c>
    </row>
    <row r="32" spans="2:4" x14ac:dyDescent="0.3">
      <c r="B32" s="8" t="s">
        <v>31</v>
      </c>
      <c r="C32" s="12">
        <v>0.6</v>
      </c>
      <c r="D32" s="10" t="s">
        <v>17</v>
      </c>
    </row>
    <row r="33" spans="2:4" x14ac:dyDescent="0.3">
      <c r="B33" s="8" t="s">
        <v>32</v>
      </c>
      <c r="C33" s="13">
        <v>10</v>
      </c>
      <c r="D33" s="10" t="s">
        <v>17</v>
      </c>
    </row>
    <row r="34" spans="2:4" x14ac:dyDescent="0.3">
      <c r="B34" s="8" t="s">
        <v>33</v>
      </c>
      <c r="C34" s="13">
        <v>4</v>
      </c>
      <c r="D34" s="10" t="s">
        <v>17</v>
      </c>
    </row>
    <row r="36" spans="2:4" ht="15.6" x14ac:dyDescent="0.3">
      <c r="B36" s="6" t="s">
        <v>34</v>
      </c>
    </row>
    <row r="37" spans="2:4" x14ac:dyDescent="0.3">
      <c r="B37" s="7" t="s">
        <v>3</v>
      </c>
      <c r="C37" s="7" t="s">
        <v>4</v>
      </c>
      <c r="D37" s="7" t="s">
        <v>5</v>
      </c>
    </row>
    <row r="38" spans="2:4" x14ac:dyDescent="0.3">
      <c r="B38" s="8" t="s">
        <v>35</v>
      </c>
      <c r="C38" s="13">
        <v>10</v>
      </c>
      <c r="D38" s="10" t="s">
        <v>7</v>
      </c>
    </row>
    <row r="39" spans="2:4" x14ac:dyDescent="0.3">
      <c r="B39" s="8" t="s">
        <v>36</v>
      </c>
      <c r="C39" s="13">
        <v>20</v>
      </c>
      <c r="D39" s="10" t="s">
        <v>7</v>
      </c>
    </row>
    <row r="40" spans="2:4" x14ac:dyDescent="0.3">
      <c r="B40" s="8" t="s">
        <v>37</v>
      </c>
      <c r="C40" s="13">
        <v>26</v>
      </c>
      <c r="D40" s="10" t="s">
        <v>7</v>
      </c>
    </row>
    <row r="41" spans="2:4" x14ac:dyDescent="0.3">
      <c r="B41" s="8" t="s">
        <v>38</v>
      </c>
      <c r="C41" s="9">
        <v>0.5</v>
      </c>
      <c r="D41" s="10" t="s">
        <v>39</v>
      </c>
    </row>
    <row r="42" spans="2:4" x14ac:dyDescent="0.3">
      <c r="B42" s="8" t="s">
        <v>40</v>
      </c>
      <c r="C42" s="12">
        <v>0.2</v>
      </c>
      <c r="D42" s="10" t="s">
        <v>39</v>
      </c>
    </row>
    <row r="43" spans="2:4" x14ac:dyDescent="0.3">
      <c r="B43" s="8" t="s">
        <v>41</v>
      </c>
      <c r="C43" s="12">
        <v>0.3</v>
      </c>
      <c r="D43" s="10" t="s">
        <v>39</v>
      </c>
    </row>
    <row r="44" spans="2:4" x14ac:dyDescent="0.3">
      <c r="B44" s="8" t="s">
        <v>42</v>
      </c>
      <c r="C44" s="12">
        <v>0.6</v>
      </c>
      <c r="D44" s="10" t="s">
        <v>39</v>
      </c>
    </row>
    <row r="45" spans="2:4" x14ac:dyDescent="0.3">
      <c r="B45" s="8" t="s">
        <v>43</v>
      </c>
      <c r="C45" s="12">
        <v>0.5</v>
      </c>
      <c r="D45" s="10" t="s">
        <v>39</v>
      </c>
    </row>
    <row r="46" spans="2:4" x14ac:dyDescent="0.3">
      <c r="B46" s="8" t="s">
        <v>44</v>
      </c>
      <c r="C46" s="12">
        <v>1</v>
      </c>
      <c r="D46" s="10" t="s">
        <v>39</v>
      </c>
    </row>
    <row r="47" spans="2:4" x14ac:dyDescent="0.3">
      <c r="B47" s="8" t="s">
        <v>45</v>
      </c>
      <c r="C47" s="12">
        <v>0.2</v>
      </c>
      <c r="D47" s="10" t="s">
        <v>39</v>
      </c>
    </row>
    <row r="48" spans="2:4" x14ac:dyDescent="0.3">
      <c r="B48" s="8" t="s">
        <v>46</v>
      </c>
      <c r="C48" s="12">
        <v>0.5</v>
      </c>
      <c r="D48" s="10" t="s">
        <v>39</v>
      </c>
    </row>
    <row r="49" spans="2:4" x14ac:dyDescent="0.3">
      <c r="B49" s="8" t="s">
        <v>47</v>
      </c>
      <c r="C49" s="13">
        <v>12</v>
      </c>
      <c r="D49" s="10" t="s">
        <v>39</v>
      </c>
    </row>
    <row r="50" spans="2:4" x14ac:dyDescent="0.3">
      <c r="B50" s="8" t="s">
        <v>48</v>
      </c>
      <c r="C50" s="13">
        <v>3</v>
      </c>
      <c r="D50" s="10" t="s">
        <v>49</v>
      </c>
    </row>
    <row r="52" spans="2:4" ht="15.6" x14ac:dyDescent="0.3">
      <c r="B52" s="6" t="s">
        <v>50</v>
      </c>
    </row>
    <row r="53" spans="2:4" x14ac:dyDescent="0.3">
      <c r="B53" s="7" t="s">
        <v>3</v>
      </c>
      <c r="C53" s="7" t="s">
        <v>4</v>
      </c>
      <c r="D53" s="7" t="s">
        <v>5</v>
      </c>
    </row>
    <row r="54" spans="2:4" x14ac:dyDescent="0.3">
      <c r="B54" s="8" t="s">
        <v>51</v>
      </c>
      <c r="C54" s="12">
        <v>0.1</v>
      </c>
      <c r="D54" s="10" t="s">
        <v>52</v>
      </c>
    </row>
    <row r="55" spans="2:4" x14ac:dyDescent="0.3">
      <c r="B55" s="8" t="s">
        <v>53</v>
      </c>
      <c r="C55" s="9">
        <v>5</v>
      </c>
      <c r="D55" s="10" t="s">
        <v>54</v>
      </c>
    </row>
    <row r="56" spans="2:4" x14ac:dyDescent="0.3">
      <c r="B56" s="8" t="s">
        <v>55</v>
      </c>
      <c r="C56" s="12">
        <v>0.6</v>
      </c>
      <c r="D56" s="10" t="s">
        <v>56</v>
      </c>
    </row>
    <row r="57" spans="2:4" x14ac:dyDescent="0.3">
      <c r="B57" s="8" t="s">
        <v>57</v>
      </c>
      <c r="C57" s="12">
        <v>0.95</v>
      </c>
      <c r="D57" s="10" t="s">
        <v>58</v>
      </c>
    </row>
    <row r="58" spans="2:4" x14ac:dyDescent="0.3">
      <c r="B58" s="8" t="s">
        <v>59</v>
      </c>
      <c r="C58" s="11">
        <v>0.01</v>
      </c>
      <c r="D58" s="10" t="s">
        <v>60</v>
      </c>
    </row>
    <row r="59" spans="2:4" x14ac:dyDescent="0.3">
      <c r="B59" s="8" t="s">
        <v>61</v>
      </c>
      <c r="C59" s="13">
        <v>8</v>
      </c>
      <c r="D59" s="10" t="s">
        <v>62</v>
      </c>
    </row>
    <row r="60" spans="2:4" x14ac:dyDescent="0.3">
      <c r="B60" s="8" t="s">
        <v>63</v>
      </c>
      <c r="C60" s="13">
        <v>9</v>
      </c>
      <c r="D60" s="10" t="s">
        <v>62</v>
      </c>
    </row>
    <row r="61" spans="2:4" x14ac:dyDescent="0.3">
      <c r="B61" s="8" t="s">
        <v>64</v>
      </c>
      <c r="C61" s="13">
        <v>12</v>
      </c>
      <c r="D61" s="10" t="s">
        <v>62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83"/>
  <sheetViews>
    <sheetView showGridLines="0" zoomScaleNormal="100" workbookViewId="0"/>
  </sheetViews>
  <sheetFormatPr defaultColWidth="8.6640625" defaultRowHeight="14.4" x14ac:dyDescent="0.3"/>
  <cols>
    <col min="1" max="1" width="2" customWidth="1"/>
    <col min="2" max="2" width="46" customWidth="1"/>
    <col min="3" max="3" width="22" customWidth="1"/>
    <col min="4" max="4" width="90" customWidth="1"/>
  </cols>
  <sheetData>
    <row r="2" spans="2:4" ht="21" x14ac:dyDescent="0.4">
      <c r="B2" s="4" t="s">
        <v>65</v>
      </c>
    </row>
    <row r="4" spans="2:4" ht="15.6" x14ac:dyDescent="0.3">
      <c r="B4" s="6" t="s">
        <v>66</v>
      </c>
    </row>
    <row r="5" spans="2:4" x14ac:dyDescent="0.3">
      <c r="B5" s="7" t="s">
        <v>67</v>
      </c>
      <c r="C5" s="7" t="s">
        <v>4</v>
      </c>
      <c r="D5" s="7" t="s">
        <v>68</v>
      </c>
    </row>
    <row r="6" spans="2:4" x14ac:dyDescent="0.3">
      <c r="B6" s="8" t="s">
        <v>69</v>
      </c>
      <c r="C6" s="14">
        <f>Units*ModCost/1000000</f>
        <v>13.2</v>
      </c>
      <c r="D6" s="15" t="s">
        <v>70</v>
      </c>
    </row>
    <row r="7" spans="2:4" x14ac:dyDescent="0.3">
      <c r="B7" s="8" t="s">
        <v>71</v>
      </c>
      <c r="C7" s="14">
        <f>Units*MagCost/1000000</f>
        <v>3.52</v>
      </c>
      <c r="D7" s="15" t="s">
        <v>72</v>
      </c>
    </row>
    <row r="8" spans="2:4" x14ac:dyDescent="0.3">
      <c r="B8" s="8" t="s">
        <v>73</v>
      </c>
      <c r="C8" s="14">
        <f>Rev*EBITDA_m</f>
        <v>9.6</v>
      </c>
      <c r="D8" s="15" t="s">
        <v>74</v>
      </c>
    </row>
    <row r="9" spans="2:4" x14ac:dyDescent="0.3">
      <c r="B9" s="8" t="s">
        <v>75</v>
      </c>
      <c r="C9" s="16">
        <f>HorizonYears*12</f>
        <v>36</v>
      </c>
      <c r="D9" s="15" t="s">
        <v>76</v>
      </c>
    </row>
    <row r="10" spans="2:4" x14ac:dyDescent="0.3">
      <c r="B10" s="8" t="s">
        <v>77</v>
      </c>
      <c r="C10" s="16">
        <f>MAX(0,HorizonM-BuildMonths)</f>
        <v>21</v>
      </c>
      <c r="D10" s="15" t="s">
        <v>78</v>
      </c>
    </row>
    <row r="11" spans="2:4" x14ac:dyDescent="0.3">
      <c r="B11" s="8" t="s">
        <v>79</v>
      </c>
      <c r="C11" s="16">
        <f>MIN(BuildMonths,HorizonM)</f>
        <v>15</v>
      </c>
      <c r="D11" s="15" t="s">
        <v>80</v>
      </c>
    </row>
    <row r="12" spans="2:4" x14ac:dyDescent="0.3">
      <c r="B12" s="8" t="s">
        <v>81</v>
      </c>
      <c r="C12" s="16">
        <f>MIN(12,ProdM)</f>
        <v>12</v>
      </c>
      <c r="D12" s="15" t="s">
        <v>82</v>
      </c>
    </row>
    <row r="13" spans="2:4" x14ac:dyDescent="0.3">
      <c r="B13" s="8" t="s">
        <v>83</v>
      </c>
      <c r="C13" s="16">
        <f>MIN(12,MAX(0,ProdM-12))</f>
        <v>9</v>
      </c>
      <c r="D13" s="15" t="s">
        <v>84</v>
      </c>
    </row>
    <row r="14" spans="2:4" x14ac:dyDescent="0.3">
      <c r="B14" s="8" t="s">
        <v>85</v>
      </c>
      <c r="C14" s="16">
        <f>MAX(0,ProdM-24)</f>
        <v>0</v>
      </c>
      <c r="D14" s="15" t="s">
        <v>86</v>
      </c>
    </row>
    <row r="16" spans="2:4" ht="15.6" x14ac:dyDescent="0.3">
      <c r="B16" s="6" t="s">
        <v>87</v>
      </c>
    </row>
    <row r="17" spans="2:4" x14ac:dyDescent="0.3">
      <c r="B17" s="7" t="s">
        <v>67</v>
      </c>
      <c r="C17" s="7" t="s">
        <v>4</v>
      </c>
      <c r="D17" s="7" t="s">
        <v>68</v>
      </c>
    </row>
    <row r="18" spans="2:4" x14ac:dyDescent="0.3">
      <c r="B18" s="8" t="s">
        <v>88</v>
      </c>
      <c r="C18" s="14">
        <f>PremA*ModSpend</f>
        <v>0.26400000000000001</v>
      </c>
      <c r="D18" s="15" t="s">
        <v>89</v>
      </c>
    </row>
    <row r="19" spans="2:4" x14ac:dyDescent="0.3">
      <c r="B19" s="8" t="s">
        <v>90</v>
      </c>
      <c r="C19" s="14">
        <f>InvA_wk/52*ModSpend</f>
        <v>2.5384615384615383</v>
      </c>
      <c r="D19" s="15" t="s">
        <v>91</v>
      </c>
    </row>
    <row r="20" spans="2:4" x14ac:dyDescent="0.3">
      <c r="B20" s="8" t="s">
        <v>92</v>
      </c>
      <c r="C20" s="14">
        <f>InvA_val*Carry</f>
        <v>0.50769230769230766</v>
      </c>
      <c r="D20" s="15" t="s">
        <v>93</v>
      </c>
    </row>
    <row r="21" spans="2:4" x14ac:dyDescent="0.3">
      <c r="B21" s="8" t="s">
        <v>94</v>
      </c>
      <c r="C21" s="17">
        <f>(EBITDA0-PremA_yr)/Rev</f>
        <v>0.1167</v>
      </c>
      <c r="D21" s="15" t="s">
        <v>95</v>
      </c>
    </row>
    <row r="22" spans="2:4" x14ac:dyDescent="0.3">
      <c r="B22" s="8" t="s">
        <v>96</v>
      </c>
      <c r="C22" s="17">
        <f>(EBITDA0-PremA_yr-CarryA_yr)/Rev</f>
        <v>0.11035384615384616</v>
      </c>
      <c r="D22" s="15" t="s">
        <v>97</v>
      </c>
    </row>
    <row r="23" spans="2:4" x14ac:dyDescent="0.3">
      <c r="B23" s="8" t="s">
        <v>98</v>
      </c>
      <c r="C23" s="14">
        <f>PremB1*ModSpend</f>
        <v>1.5839999999999999</v>
      </c>
      <c r="D23" s="15" t="s">
        <v>99</v>
      </c>
    </row>
    <row r="24" spans="2:4" x14ac:dyDescent="0.3">
      <c r="B24" s="8" t="s">
        <v>100</v>
      </c>
      <c r="C24" s="17">
        <f>(EBITDA0-PremB1_yr)/Rev</f>
        <v>0.1002</v>
      </c>
      <c r="D24" s="15" t="s">
        <v>101</v>
      </c>
    </row>
    <row r="26" spans="2:4" ht="15.6" x14ac:dyDescent="0.3">
      <c r="B26" s="6" t="s">
        <v>102</v>
      </c>
    </row>
    <row r="27" spans="2:4" x14ac:dyDescent="0.3">
      <c r="B27" s="7" t="s">
        <v>67</v>
      </c>
      <c r="C27" s="7" t="s">
        <v>4</v>
      </c>
      <c r="D27" s="7" t="s">
        <v>68</v>
      </c>
    </row>
    <row r="28" spans="2:4" x14ac:dyDescent="0.3">
      <c r="B28" s="8" t="s">
        <v>103</v>
      </c>
      <c r="C28" s="14">
        <f>CapexB*(1-CofundSecured)</f>
        <v>6</v>
      </c>
      <c r="D28" s="15" t="s">
        <v>104</v>
      </c>
    </row>
    <row r="29" spans="2:4" x14ac:dyDescent="0.3">
      <c r="B29" s="8" t="s">
        <v>105</v>
      </c>
      <c r="C29" s="17">
        <f>MAX(0,1-G_Inv/CapexB)</f>
        <v>0.16666666666666663</v>
      </c>
      <c r="D29" s="15" t="s">
        <v>106</v>
      </c>
    </row>
    <row r="31" spans="2:4" ht="15.6" x14ac:dyDescent="0.3">
      <c r="B31" s="6" t="s">
        <v>107</v>
      </c>
    </row>
    <row r="32" spans="2:4" x14ac:dyDescent="0.3">
      <c r="B32" s="7" t="s">
        <v>67</v>
      </c>
      <c r="C32" s="7" t="s">
        <v>4</v>
      </c>
      <c r="D32" s="7" t="s">
        <v>68</v>
      </c>
    </row>
    <row r="33" spans="2:4" x14ac:dyDescent="0.3">
      <c r="B33" s="8" t="s">
        <v>108</v>
      </c>
      <c r="C33" s="18">
        <f>MAX(SplitA,1-SplitA)</f>
        <v>0.6</v>
      </c>
      <c r="D33" s="15" t="s">
        <v>109</v>
      </c>
    </row>
    <row r="34" spans="2:4" x14ac:dyDescent="0.3">
      <c r="B34" s="8" t="s">
        <v>110</v>
      </c>
      <c r="C34" s="18">
        <f>MAX(SplitB,1-SplitB)</f>
        <v>0.6</v>
      </c>
      <c r="D34" s="15" t="s">
        <v>111</v>
      </c>
    </row>
    <row r="35" spans="2:4" x14ac:dyDescent="0.3">
      <c r="B35" s="8" t="s">
        <v>112</v>
      </c>
      <c r="C35" s="14">
        <f>MagSpend*MagBufWk/52</f>
        <v>0.8123076923076924</v>
      </c>
      <c r="D35" s="15" t="s">
        <v>113</v>
      </c>
    </row>
    <row r="36" spans="2:4" x14ac:dyDescent="0.3">
      <c r="B36" s="8" t="s">
        <v>114</v>
      </c>
      <c r="C36" s="14">
        <f>German*GM</f>
        <v>3.6</v>
      </c>
      <c r="D36" s="15" t="s">
        <v>115</v>
      </c>
    </row>
    <row r="38" spans="2:4" ht="15.6" x14ac:dyDescent="0.3">
      <c r="B38" s="6" t="s">
        <v>116</v>
      </c>
    </row>
    <row r="39" spans="2:4" x14ac:dyDescent="0.3">
      <c r="B39" s="7" t="s">
        <v>67</v>
      </c>
      <c r="C39" s="7" t="s">
        <v>4</v>
      </c>
      <c r="D39" s="7" t="s">
        <v>68</v>
      </c>
    </row>
    <row r="40" spans="2:4" x14ac:dyDescent="0.3">
      <c r="B40" s="8" t="s">
        <v>117</v>
      </c>
      <c r="C40" s="19">
        <f>MAX(0,(LeadMin+LeadMax)/2-InvA_wk)</f>
        <v>13</v>
      </c>
      <c r="D40" s="15" t="s">
        <v>118</v>
      </c>
    </row>
    <row r="41" spans="2:4" x14ac:dyDescent="0.3">
      <c r="B41" s="8" t="s">
        <v>119</v>
      </c>
      <c r="C41" s="14">
        <f>Gap*CostWk</f>
        <v>6.5</v>
      </c>
      <c r="D41" s="15" t="s">
        <v>120</v>
      </c>
    </row>
    <row r="42" spans="2:4" x14ac:dyDescent="0.3">
      <c r="B42" s="8" t="s">
        <v>121</v>
      </c>
      <c r="C42" s="17">
        <f>BuildInH/HorizonM</f>
        <v>0.41666666666666669</v>
      </c>
      <c r="D42" s="15" t="s">
        <v>122</v>
      </c>
    </row>
    <row r="44" spans="2:4" ht="15.6" x14ac:dyDescent="0.3">
      <c r="B44" s="6" t="s">
        <v>123</v>
      </c>
    </row>
    <row r="45" spans="2:4" x14ac:dyDescent="0.3">
      <c r="B45" s="7" t="s">
        <v>67</v>
      </c>
      <c r="C45" s="7" t="s">
        <v>4</v>
      </c>
      <c r="D45" s="7" t="s">
        <v>68</v>
      </c>
    </row>
    <row r="46" spans="2:4" x14ac:dyDescent="0.3">
      <c r="B46" s="8" t="s">
        <v>124</v>
      </c>
      <c r="C46" s="14">
        <f>PremA_yr*HorizonYears</f>
        <v>0.79200000000000004</v>
      </c>
      <c r="D46" s="15" t="s">
        <v>125</v>
      </c>
    </row>
    <row r="47" spans="2:4" x14ac:dyDescent="0.3">
      <c r="B47" s="8" t="s">
        <v>126</v>
      </c>
      <c r="C47" s="14">
        <f>CarryA_yr*HorizonYears</f>
        <v>1.523076923076923</v>
      </c>
      <c r="D47" s="15" t="s">
        <v>127</v>
      </c>
    </row>
    <row r="48" spans="2:4" x14ac:dyDescent="0.3">
      <c r="B48" s="8" t="s">
        <v>128</v>
      </c>
      <c r="C48" s="14">
        <f>QualA+PremA_tot+StockA</f>
        <v>3.1150769230769231</v>
      </c>
      <c r="D48" s="15" t="s">
        <v>129</v>
      </c>
    </row>
    <row r="49" spans="2:4" x14ac:dyDescent="0.3">
      <c r="B49" s="8" t="s">
        <v>130</v>
      </c>
      <c r="C49" s="14">
        <f>ModSpend*(PremB1*M1+PremB2*M2+PremB3*M3)/12</f>
        <v>0</v>
      </c>
      <c r="D49" s="15" t="s">
        <v>131</v>
      </c>
    </row>
    <row r="50" spans="2:4" x14ac:dyDescent="0.3">
      <c r="B50" s="8" t="s">
        <v>132</v>
      </c>
      <c r="C50" s="14">
        <f>CapexB*(1-CofundSecured)/DepYears*HorizonYears</f>
        <v>3</v>
      </c>
      <c r="D50" s="15" t="s">
        <v>133</v>
      </c>
    </row>
    <row r="51" spans="2:4" x14ac:dyDescent="0.3">
      <c r="B51" s="8" t="s">
        <v>134</v>
      </c>
      <c r="C51" s="14">
        <f>CapexB*(1-CofundMax)/DepYears*HorizonYears</f>
        <v>2.0999999999999996</v>
      </c>
      <c r="D51" s="15" t="s">
        <v>135</v>
      </c>
    </row>
    <row r="52" spans="2:4" x14ac:dyDescent="0.3">
      <c r="B52" s="8" t="s">
        <v>136</v>
      </c>
      <c r="C52" s="14">
        <f>ModSpend*Carry*(InvB_build_wk/52*BuildInH/12+InvB_after_wk/52*ProdM/12)</f>
        <v>0.99</v>
      </c>
      <c r="D52" s="15" t="s">
        <v>137</v>
      </c>
    </row>
    <row r="53" spans="2:4" x14ac:dyDescent="0.3">
      <c r="B53" s="8" t="s">
        <v>138</v>
      </c>
      <c r="C53" s="14">
        <f>DepB+PremB_tot+StockB</f>
        <v>3.99</v>
      </c>
      <c r="D53" s="15" t="s">
        <v>139</v>
      </c>
    </row>
    <row r="54" spans="2:4" x14ac:dyDescent="0.3">
      <c r="B54" s="8" t="s">
        <v>140</v>
      </c>
      <c r="C54" s="14">
        <f>DepB_max+PremB_tot+StockB</f>
        <v>3.09</v>
      </c>
      <c r="D54" s="15" t="s">
        <v>141</v>
      </c>
    </row>
    <row r="55" spans="2:4" x14ac:dyDescent="0.3">
      <c r="B55" s="8" t="s">
        <v>142</v>
      </c>
      <c r="C55" s="14">
        <f>PdisBase*LossEvent</f>
        <v>1.95</v>
      </c>
      <c r="D55" s="15" t="s">
        <v>143</v>
      </c>
    </row>
    <row r="56" spans="2:4" x14ac:dyDescent="0.3">
      <c r="B56" s="8" t="s">
        <v>144</v>
      </c>
      <c r="C56" s="14">
        <f>PdisStress*LossEvent</f>
        <v>3.9</v>
      </c>
      <c r="D56" s="15" t="s">
        <v>145</v>
      </c>
    </row>
    <row r="57" spans="2:4" x14ac:dyDescent="0.3">
      <c r="B57" s="8" t="s">
        <v>146</v>
      </c>
      <c r="C57" s="14">
        <f>PdisBase*ExposureB*LossEvent</f>
        <v>0.8125</v>
      </c>
      <c r="D57" s="15" t="s">
        <v>147</v>
      </c>
    </row>
    <row r="58" spans="2:4" x14ac:dyDescent="0.3">
      <c r="B58" s="8" t="s">
        <v>148</v>
      </c>
      <c r="C58" s="14">
        <f>PdisStress*ExposureB*LossEvent</f>
        <v>1.625</v>
      </c>
      <c r="D58" s="15" t="s">
        <v>149</v>
      </c>
    </row>
    <row r="59" spans="2:4" x14ac:dyDescent="0.3">
      <c r="B59" s="8" t="s">
        <v>150</v>
      </c>
      <c r="C59" s="14">
        <f>PlvBase*GermanMargin</f>
        <v>1.8</v>
      </c>
      <c r="D59" s="15" t="s">
        <v>151</v>
      </c>
    </row>
    <row r="60" spans="2:4" x14ac:dyDescent="0.3">
      <c r="B60" s="8" t="s">
        <v>152</v>
      </c>
      <c r="C60" s="14">
        <f>PlvStress*GermanMargin</f>
        <v>3.6</v>
      </c>
      <c r="D60" s="15" t="s">
        <v>153</v>
      </c>
    </row>
    <row r="61" spans="2:4" x14ac:dyDescent="0.3">
      <c r="B61" s="8" t="s">
        <v>154</v>
      </c>
      <c r="C61" s="14">
        <f>DirectA+DisA_b+GerA_b</f>
        <v>6.8650769230769226</v>
      </c>
      <c r="D61" s="15" t="s">
        <v>155</v>
      </c>
    </row>
    <row r="62" spans="2:4" x14ac:dyDescent="0.3">
      <c r="B62" s="8" t="s">
        <v>156</v>
      </c>
      <c r="C62" s="14">
        <f>DirectA+DisA_s+GerA_s</f>
        <v>10.615076923076924</v>
      </c>
      <c r="D62" s="15" t="s">
        <v>157</v>
      </c>
    </row>
    <row r="63" spans="2:4" x14ac:dyDescent="0.3">
      <c r="B63" s="8" t="s">
        <v>158</v>
      </c>
      <c r="C63" s="14">
        <f>DirectB+DisB_b</f>
        <v>4.8025000000000002</v>
      </c>
      <c r="D63" s="15" t="s">
        <v>159</v>
      </c>
    </row>
    <row r="64" spans="2:4" x14ac:dyDescent="0.3">
      <c r="B64" s="8" t="s">
        <v>160</v>
      </c>
      <c r="C64" s="14">
        <f>DirectB+DisB_s</f>
        <v>5.6150000000000002</v>
      </c>
      <c r="D64" s="15" t="s">
        <v>161</v>
      </c>
    </row>
    <row r="65" spans="2:4" x14ac:dyDescent="0.3">
      <c r="B65" s="8" t="s">
        <v>162</v>
      </c>
      <c r="C65" s="14">
        <f>DirectB_max+DisB_b</f>
        <v>3.9024999999999999</v>
      </c>
      <c r="D65" s="15" t="s">
        <v>163</v>
      </c>
    </row>
    <row r="66" spans="2:4" x14ac:dyDescent="0.3">
      <c r="B66" s="8" t="s">
        <v>164</v>
      </c>
      <c r="C66" s="14">
        <f>DirectB_max+DisB_s</f>
        <v>4.7149999999999999</v>
      </c>
      <c r="D66" s="15" t="s">
        <v>165</v>
      </c>
    </row>
    <row r="68" spans="2:4" ht="15.6" x14ac:dyDescent="0.3">
      <c r="B68" s="6" t="s">
        <v>166</v>
      </c>
    </row>
    <row r="69" spans="2:4" x14ac:dyDescent="0.3">
      <c r="B69" s="7" t="s">
        <v>67</v>
      </c>
      <c r="C69" s="7" t="s">
        <v>4</v>
      </c>
      <c r="D69" s="7" t="s">
        <v>68</v>
      </c>
    </row>
    <row r="70" spans="2:4" x14ac:dyDescent="0.3">
      <c r="B70" s="8" t="s">
        <v>167</v>
      </c>
      <c r="C70" s="20" t="str">
        <f>IF(EBITDA_A&lt;G_EBITDA,"Fail",IF(EBITDA_A&lt;G_EBITDA+CondBand,"Conditional","Pass"))</f>
        <v>Pass</v>
      </c>
      <c r="D70" s="15" t="s">
        <v>168</v>
      </c>
    </row>
    <row r="71" spans="2:4" x14ac:dyDescent="0.3">
      <c r="B71" s="8" t="s">
        <v>169</v>
      </c>
      <c r="C71" s="20" t="str">
        <f>IF(EBITDA_B&lt;G_EBITDA,"Fail",IF(EBITDA_B&lt;G_EBITDA+CondBand,"Conditional","Pass"))</f>
        <v>Conditional</v>
      </c>
      <c r="D71" s="15" t="s">
        <v>170</v>
      </c>
    </row>
    <row r="72" spans="2:4" x14ac:dyDescent="0.3">
      <c r="B72" s="8" t="s">
        <v>171</v>
      </c>
      <c r="C72" s="20" t="str">
        <f>IF(QualA&lt;=G_Inv,"Pass","Fail")</f>
        <v>Pass</v>
      </c>
      <c r="D72" s="15" t="s">
        <v>172</v>
      </c>
    </row>
    <row r="73" spans="2:4" x14ac:dyDescent="0.3">
      <c r="B73" s="8" t="s">
        <v>173</v>
      </c>
      <c r="C73" s="20" t="str">
        <f>IF(NetInvB&lt;=G_Inv,"Pass",IF(CofundReq&lt;=CofundMax,"Conditional","Fail"))</f>
        <v>Conditional</v>
      </c>
      <c r="D73" s="15" t="s">
        <v>174</v>
      </c>
    </row>
    <row r="74" spans="2:4" x14ac:dyDescent="0.3">
      <c r="B74" s="8" t="s">
        <v>175</v>
      </c>
      <c r="C74" s="20" t="str">
        <f>IF(LeadA&lt;=G_Supplier,"Pass","Fail")</f>
        <v>Pass</v>
      </c>
      <c r="D74" s="15" t="s">
        <v>176</v>
      </c>
    </row>
    <row r="75" spans="2:4" x14ac:dyDescent="0.3">
      <c r="B75" s="8" t="s">
        <v>177</v>
      </c>
      <c r="C75" s="20" t="str">
        <f>IF(LeadB&lt;=G_Supplier,"Pass","Fail")</f>
        <v>Pass</v>
      </c>
      <c r="D75" s="15" t="s">
        <v>178</v>
      </c>
    </row>
    <row r="76" spans="2:4" x14ac:dyDescent="0.3">
      <c r="B76" s="8" t="s">
        <v>179</v>
      </c>
      <c r="C76" s="20" t="str">
        <f>IF(Gap&lt;=0,"Pass","Conditional")</f>
        <v>Conditional</v>
      </c>
      <c r="D76" s="15" t="s">
        <v>180</v>
      </c>
    </row>
    <row r="77" spans="2:4" x14ac:dyDescent="0.3">
      <c r="B77" s="8" t="s">
        <v>181</v>
      </c>
      <c r="C77" s="20" t="str">
        <f>IF(BuildMonths&lt;=0,"Pass","Conditional")</f>
        <v>Conditional</v>
      </c>
      <c r="D77" s="15" t="s">
        <v>182</v>
      </c>
    </row>
    <row r="79" spans="2:4" ht="15.6" x14ac:dyDescent="0.3">
      <c r="B79" s="6" t="s">
        <v>183</v>
      </c>
    </row>
    <row r="80" spans="2:4" x14ac:dyDescent="0.3">
      <c r="B80" s="7" t="s">
        <v>67</v>
      </c>
      <c r="C80" s="7" t="s">
        <v>4</v>
      </c>
      <c r="D80" s="7" t="s">
        <v>68</v>
      </c>
    </row>
    <row r="81" spans="2:4" x14ac:dyDescent="0.3">
      <c r="B81" s="8" t="s">
        <v>184</v>
      </c>
      <c r="C81" s="20" t="str">
        <f>IF(TotA_b&lt;=TotB_b,"Option A","Option B")</f>
        <v>Option B</v>
      </c>
      <c r="D81" s="15" t="s">
        <v>185</v>
      </c>
    </row>
    <row r="82" spans="2:4" x14ac:dyDescent="0.3">
      <c r="B82" s="8" t="s">
        <v>186</v>
      </c>
      <c r="C82" s="20" t="str">
        <f>IF(TotA_s&lt;=TotB_s,"Option A","Option B")</f>
        <v>Option B</v>
      </c>
      <c r="D82" s="15" t="s">
        <v>187</v>
      </c>
    </row>
    <row r="83" spans="2:4" ht="34.200000000000003" x14ac:dyDescent="0.3">
      <c r="B83" s="8" t="s">
        <v>188</v>
      </c>
      <c r="C83" s="20" t="str">
        <f>IF(AND(TotA_b&lt;=TotB_b,TotA_s&gt;TotB_s),"Staged: Option A now, Option B by KPI gates",IF(AND(TotA_b&lt;=TotB_b,TotA_s&lt;=TotB_s),"Option A: cheaper in both scenarios",IF(St_I_B="Fail","Option B preferred, but blocked by guardrail 2","Option B: cheaper in both scenarios")))</f>
        <v>Option B: cheaper in both scenarios</v>
      </c>
      <c r="D83" s="15" t="s">
        <v>189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1"/>
  <sheetViews>
    <sheetView showGridLines="0" zoomScaleNormal="100" workbookViewId="0"/>
  </sheetViews>
  <sheetFormatPr defaultColWidth="8.6640625" defaultRowHeight="14.4" x14ac:dyDescent="0.3"/>
  <cols>
    <col min="1" max="1" width="2" customWidth="1"/>
    <col min="2" max="2" width="22" customWidth="1"/>
    <col min="3" max="3" width="20" customWidth="1"/>
    <col min="4" max="4" width="24" customWidth="1"/>
    <col min="5" max="5" width="40" customWidth="1"/>
    <col min="6" max="6" width="44" customWidth="1"/>
  </cols>
  <sheetData>
    <row r="2" spans="2:6" ht="21" x14ac:dyDescent="0.4">
      <c r="B2" s="4" t="s">
        <v>190</v>
      </c>
    </row>
    <row r="4" spans="2:6" x14ac:dyDescent="0.3">
      <c r="B4" s="7" t="s">
        <v>191</v>
      </c>
      <c r="C4" s="7" t="s">
        <v>192</v>
      </c>
      <c r="D4" s="7" t="s">
        <v>193</v>
      </c>
      <c r="E4" s="7" t="s">
        <v>194</v>
      </c>
      <c r="F4" s="7" t="s">
        <v>195</v>
      </c>
    </row>
    <row r="5" spans="2:6" ht="36" customHeight="1" x14ac:dyDescent="0.3">
      <c r="B5" s="21" t="str">
        <f>"EBITDA ≥ "&amp;TEXT(G_EBITDA,"0%")</f>
        <v>EBITDA ≥ 10%</v>
      </c>
      <c r="C5" s="20" t="str">
        <f>St_E_A&amp;CHAR(10)&amp;TEXT(EBITDA_A,"0.0%")</f>
        <v>Pass
11.7%</v>
      </c>
      <c r="D5" s="20" t="str">
        <f>St_E_B&amp;CHAR(10)&amp;TEXT(EBITDA_B,"0.0%")</f>
        <v>Conditional
10.0%</v>
      </c>
      <c r="E5" s="8" t="str">
        <f>IF(St_E_B&lt;&gt;"Pass","No volume growth: B breaches the guardrail","B keeps a margin above the floor")</f>
        <v>No volume growth: B breaches the guardrail</v>
      </c>
      <c r="F5" s="8" t="str">
        <f>"Gate 3: EBITDA ≥ "&amp;TEXT(G_EBITDA,"0%")&amp;" before B production"</f>
        <v>Gate 3: EBITDA ≥ 10% before B production</v>
      </c>
    </row>
    <row r="6" spans="2:6" ht="36" customHeight="1" x14ac:dyDescent="0.3">
      <c r="B6" s="22" t="str">
        <f>"Investment ≤ €"&amp;TEXT(G_Inv,"0")&amp;"m"</f>
        <v>Investment ≤ €5m</v>
      </c>
      <c r="C6" s="23" t="str">
        <f>St_I_A&amp;CHAR(10)&amp;"€"&amp;TEXT(QualA,"0.0")&amp;"m"</f>
        <v>Pass
€0.8m</v>
      </c>
      <c r="D6" s="23" t="str">
        <f>St_I_B&amp;CHAR(10)&amp;IF(St_I_B="Pass","€"&amp;TEXT(NetInvB,"0.0")&amp;"m"&amp;" net","needs ≥ "&amp;TEXT(CofundReq,"0%")&amp;" co-funding")</f>
        <v>Conditional
needs ≥ 17% co-funding</v>
      </c>
      <c r="E6" s="24" t="str">
        <f>IF(CapexB&gt;G_Inv,"Co-funding refused: B is blocked","B within the limit without co-funding")</f>
        <v>Co-funding refused: B is blocked</v>
      </c>
      <c r="F6" s="24" t="str">
        <f>"Gate 2: co-funding ≥ "&amp;TEXT(CofundReq,"0%")&amp;" by Month "&amp;Gate2M</f>
        <v>Gate 2: co-funding ≥ 17% by Month 12</v>
      </c>
    </row>
    <row r="7" spans="2:6" ht="36" customHeight="1" x14ac:dyDescent="0.3">
      <c r="B7" s="21" t="str">
        <f>"No supplier &gt; "&amp;TEXT(G_Supplier,"0%")</f>
        <v>No supplier &gt; 60%</v>
      </c>
      <c r="C7" s="20" t="str">
        <f>St_S_A&amp;CHAR(10)&amp;TEXT(LeadA,"0%")&amp;"/"&amp;TEXT(1-LeadA,"0%")&amp;", both by sea"</f>
        <v>Pass
60%/40%, both by sea</v>
      </c>
      <c r="D7" s="20" t="str">
        <f>St_S_B&amp;CHAR(10)&amp;"once operational"</f>
        <v>Pass
once operational</v>
      </c>
      <c r="E7" s="8" t="str">
        <f>"Rare-earth risk: magnets unsolved in both"</f>
        <v>Rare-earth risk: magnets unsolved in both</v>
      </c>
      <c r="F7" s="8" t="str">
        <f>"Gate 1: lead supplier ≤ "&amp;TEXT(G_Supplier,"0%")&amp;" + magnet buffer by Month "&amp;Gate1M</f>
        <v>Gate 1: lead supplier ≤ 60% + magnet buffer by Month 9</v>
      </c>
    </row>
    <row r="8" spans="2:6" ht="36" customHeight="1" x14ac:dyDescent="0.3">
      <c r="B8" s="22" t="str">
        <f>"Delivery ≥ "&amp;TEXT(G_Delivery,"0%")</f>
        <v>Delivery ≥ 95%</v>
      </c>
      <c r="C8" s="23" t="str">
        <f>St_D_A&amp;CHAR(10)&amp;IF(Gap&gt;0,TEXT(Gap,"0")&amp;"-week gap","stock covers the disruption")</f>
        <v>Conditional
13-week gap</v>
      </c>
      <c r="D8" s="23" t="str">
        <f>St_D_B&amp;CHAR(10)&amp;"during "&amp;BuildMonths&amp;"-month build"</f>
        <v>Conditional
during 15-month build</v>
      </c>
      <c r="E8" s="24" t="str">
        <f>"Disruption at "&amp;TEXT(PdisStress,"0%")&amp;": A "&amp;"€"&amp;TEXT(TotA_s,"0.0")&amp;"m"&amp;" vs B "&amp;"€"&amp;TEXT(TotB_s,"0.0")&amp;"m"</f>
        <v>Disruption at 60%: A €10.6m vs B €5.6m</v>
      </c>
      <c r="F8" s="24" t="str">
        <f>"Trigger: disruption &gt; "&amp;TriggerWk&amp;" weeks"</f>
        <v>Trigger: disruption &gt; 8 weeks</v>
      </c>
    </row>
    <row r="10" spans="2:6" ht="15.6" x14ac:dyDescent="0.3">
      <c r="B10" s="6" t="s">
        <v>123</v>
      </c>
    </row>
    <row r="11" spans="2:6" x14ac:dyDescent="0.3">
      <c r="B11" s="7"/>
      <c r="C11" s="7" t="s">
        <v>196</v>
      </c>
      <c r="D11" s="7" t="s">
        <v>197</v>
      </c>
    </row>
    <row r="12" spans="2:6" x14ac:dyDescent="0.3">
      <c r="B12" s="21" t="s">
        <v>192</v>
      </c>
      <c r="C12" s="25">
        <f>TotA_b</f>
        <v>6.8650769230769226</v>
      </c>
      <c r="D12" s="26">
        <f>TotA_s</f>
        <v>10.615076923076924</v>
      </c>
    </row>
    <row r="13" spans="2:6" x14ac:dyDescent="0.3">
      <c r="B13" s="22" t="s">
        <v>193</v>
      </c>
      <c r="C13" s="27">
        <f>TotB_b</f>
        <v>4.8025000000000002</v>
      </c>
      <c r="D13" s="28">
        <f>TotB_s</f>
        <v>5.6150000000000002</v>
      </c>
    </row>
    <row r="14" spans="2:6" ht="26.4" x14ac:dyDescent="0.3">
      <c r="B14" s="21" t="str">
        <f>"Option B, "&amp;TEXT(CofundMax,"0%")&amp;" co-funding"</f>
        <v>Option B, 30% co-funding</v>
      </c>
      <c r="C14" s="25">
        <f>TotB_b_max</f>
        <v>3.9024999999999999</v>
      </c>
      <c r="D14" s="26">
        <f>TotB_s_max</f>
        <v>4.7149999999999999</v>
      </c>
    </row>
    <row r="16" spans="2:6" ht="15.6" x14ac:dyDescent="0.3">
      <c r="B16" s="6" t="s">
        <v>183</v>
      </c>
    </row>
    <row r="17" spans="2:6" x14ac:dyDescent="0.3">
      <c r="B17" s="21" t="s">
        <v>198</v>
      </c>
      <c r="C17" s="3" t="str">
        <f>WinBase</f>
        <v>Option B</v>
      </c>
      <c r="D17" s="3"/>
      <c r="E17" s="3"/>
      <c r="F17" s="3"/>
    </row>
    <row r="18" spans="2:6" x14ac:dyDescent="0.3">
      <c r="B18" s="21" t="s">
        <v>199</v>
      </c>
      <c r="C18" s="3" t="str">
        <f>WinStress</f>
        <v>Option B</v>
      </c>
      <c r="D18" s="3"/>
      <c r="E18" s="3"/>
      <c r="F18" s="3"/>
    </row>
    <row r="19" spans="2:6" x14ac:dyDescent="0.3">
      <c r="B19" s="21" t="s">
        <v>188</v>
      </c>
      <c r="C19" s="2" t="str">
        <f>Reco</f>
        <v>Option B: cheaper in both scenarios</v>
      </c>
      <c r="D19" s="2"/>
      <c r="E19" s="2"/>
      <c r="F19" s="2"/>
    </row>
    <row r="21" spans="2:6" x14ac:dyDescent="0.3">
      <c r="B21" s="29" t="s">
        <v>200</v>
      </c>
    </row>
  </sheetData>
  <mergeCells count="3">
    <mergeCell ref="C17:F17"/>
    <mergeCell ref="C18:F18"/>
    <mergeCell ref="C19:F19"/>
  </mergeCells>
  <conditionalFormatting sqref="C5:D8">
    <cfRule type="expression" dxfId="5" priority="2">
      <formula>LEFT(C5,4)="Pass"</formula>
    </cfRule>
    <cfRule type="expression" dxfId="4" priority="3">
      <formula>LEFT(C5,11)="Conditional"</formula>
    </cfRule>
    <cfRule type="expression" dxfId="3" priority="4">
      <formula>LEFT(C5,4)="Fail"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J12"/>
  <sheetViews>
    <sheetView showGridLines="0" tabSelected="1" zoomScaleNormal="100" workbookViewId="0">
      <selection activeCell="G5" sqref="G5"/>
    </sheetView>
  </sheetViews>
  <sheetFormatPr defaultColWidth="8.6640625" defaultRowHeight="14.4" x14ac:dyDescent="0.3"/>
  <cols>
    <col min="1" max="1" width="2" customWidth="1"/>
    <col min="2" max="2" width="14" customWidth="1"/>
    <col min="3" max="4" width="30" customWidth="1"/>
    <col min="5" max="5" width="13" customWidth="1"/>
    <col min="6" max="6" width="15" customWidth="1"/>
    <col min="7" max="8" width="18" customWidth="1"/>
    <col min="9" max="9" width="17" customWidth="1"/>
    <col min="10" max="10" width="19" customWidth="1"/>
  </cols>
  <sheetData>
    <row r="2" spans="2:10" ht="21" x14ac:dyDescent="0.4">
      <c r="B2" s="4" t="s">
        <v>201</v>
      </c>
    </row>
    <row r="4" spans="2:10" ht="26.4" x14ac:dyDescent="0.3">
      <c r="B4" s="7" t="s">
        <v>191</v>
      </c>
      <c r="C4" s="7" t="s">
        <v>202</v>
      </c>
      <c r="D4" s="7" t="s">
        <v>203</v>
      </c>
      <c r="E4" s="7" t="s">
        <v>204</v>
      </c>
      <c r="F4" s="7" t="s">
        <v>205</v>
      </c>
      <c r="G4" s="7" t="s">
        <v>206</v>
      </c>
      <c r="H4" s="7" t="s">
        <v>207</v>
      </c>
      <c r="I4" s="7" t="s">
        <v>208</v>
      </c>
      <c r="J4" s="7" t="s">
        <v>209</v>
      </c>
    </row>
    <row r="5" spans="2:10" ht="61.5" customHeight="1" x14ac:dyDescent="0.3">
      <c r="B5" s="30" t="str">
        <f>"EBITDA ≥ "&amp;TEXT(G_EBITDA,"0%")</f>
        <v>EBITDA ≥ 10%</v>
      </c>
      <c r="C5" s="31" t="str">
        <f>"Revenue €"&amp;TEXT(Rev,"0")&amp;"m, EBITDA "&amp;TEXT(EBITDA_m,"0%")&amp;" (€"&amp;TEXT(EBITDA0,"0.0")&amp;"m); module spend €"&amp;TEXT(ModSpend,"0.0")&amp;"m/yr; premium A +"&amp;TEXT(PremA,"0%")&amp;", B +"&amp;TEXT(PremB1,"0%")</f>
        <v>Revenue €80m, EBITDA 12% (€9.6m); module spend €13.2m/yr; premium A +2%, B +12%</v>
      </c>
      <c r="D5" s="31" t="str">
        <f>"A: "&amp;TEXT(PremA,"0%")&amp;" × "&amp;TEXT(ModSpend,"0.0")&amp;" = €"&amp;TEXT(PremA_yr,"0.00")&amp;"m → "&amp;TEXT(EBITDA_A,"0.0%")&amp;CHAR(10)&amp;"B: "&amp;TEXT(PremB1,"0%")&amp;" × "&amp;TEXT(ModSpend,"0.0")&amp;" = €"&amp;TEXT(PremB1_yr,"0.00")&amp;"m → "&amp;TEXT(EBITDA_B,"0.0%")</f>
        <v>A: 2% × 13.2 = €0.26m → 11.7%
B: 12% × 13.2 = €1.58m → 10.0%</v>
      </c>
      <c r="E5" s="32" t="str">
        <f>St_E_A&amp;CHAR(10)&amp;TEXT(EBITDA_A,"0.0%")</f>
        <v>Pass
11.7%</v>
      </c>
      <c r="F5" s="32" t="str">
        <f>St_E_B&amp;CHAR(10)&amp;TEXT(EBITDA_B,"0.0%")</f>
        <v>Conditional
10.0%</v>
      </c>
      <c r="G5" s="31" t="str">
        <f>IF(EBITDA_A_carry&gt;=G_EBITDA,"Stays above ","Falls below ")&amp;TEXT(G_EBITDA,"0%")&amp;" (incl. carrying: "&amp;TEXT(EBITDA_A_carry,"0.0%")&amp;")"</f>
        <v>Stays above 10% (incl. carrying: 11.0%)</v>
      </c>
      <c r="H5" s="31" t="str">
        <f>IF(EBITDA_B&lt;G_EBITDA+CondBand,"No volume growth: falls below ","Stays above ")&amp;TEXT(G_EBITDA,"0%")</f>
        <v>No volume growth: falls below 10%</v>
      </c>
      <c r="I5" s="32" t="str">
        <f>"€"&amp;TEXT(PremA_tot,"0.0")&amp;"m"&amp;CHAR(10)&amp;"module premium"</f>
        <v>€0.8m
module premium</v>
      </c>
      <c r="J5" s="32" t="str">
        <f>"€"&amp;TEXT(PremB_tot,"0.0")&amp;"m"&amp;CHAR(10)&amp;"module premium"</f>
        <v>€0.0m
module premium</v>
      </c>
    </row>
    <row r="6" spans="2:10" ht="61.5" customHeight="1" x14ac:dyDescent="0.3">
      <c r="B6" s="33" t="str">
        <f>"Investment ≤ €"&amp;TEXT(G_Inv,"0")&amp;"m"</f>
        <v>Investment ≤ €5m</v>
      </c>
      <c r="C6" s="34" t="str">
        <f>"A: qualification €"&amp;TEXT(QualA,"0.0")&amp;"m; B: capex €"&amp;TEXT(CapexB,"0.0")&amp;"m over "&amp;DepYears&amp;" yrs, co-funding ≤ "&amp;TEXT(CofundMax,"0%")&amp;" (secured: "&amp;TEXT(CofundSecured,"0%")&amp;")"</f>
        <v>A: qualification €0.8m; B: capex €6.0m over 6 yrs, co-funding ≤ 30% (secured: 0%)</v>
      </c>
      <c r="D6" s="34" t="str">
        <f>TEXT(CapexB,"0.0")&amp;" × (1 − x) ≤ "&amp;TEXT(G_Inv,"0.0")&amp;" → co-funding x ≥ "&amp;TEXT(CofundReq,"0.0%")</f>
        <v>6.0 × (1 − x) ≤ 5.0 → co-funding x ≥ 16.7%</v>
      </c>
      <c r="E6" s="35" t="str">
        <f>St_I_A&amp;CHAR(10)&amp;"€"&amp;TEXT(QualA,"0.0")&amp;"m"</f>
        <v>Pass
€0.8m</v>
      </c>
      <c r="F6" s="35" t="str">
        <f>St_I_B&amp;CHAR(10)&amp;IF(St_I_B="Pass","€"&amp;TEXT(NetInvB,"0.0")&amp;"m"&amp;" net","needs ≥ "&amp;TEXT(CofundReq,"0%")&amp;" co-funding")</f>
        <v>Conditional
needs ≥ 17% co-funding</v>
      </c>
      <c r="G6" s="34" t="str">
        <f>IF(QualA&lt;=G_Inv,"Not affected","Above the limit")</f>
        <v>Not affected</v>
      </c>
      <c r="H6" s="34" t="str">
        <f>IF(CapexB&gt;G_Inv,"Co-funding refused: B blocked","Not affected")</f>
        <v>Co-funding refused: B blocked</v>
      </c>
      <c r="I6" s="35" t="str">
        <f>"€"&amp;TEXT(QualA,"0.0")&amp;"m"&amp;CHAR(10)&amp;"qualification"</f>
        <v>€0.8m
qualification</v>
      </c>
      <c r="J6" s="35" t="str">
        <f>"€"&amp;TEXT(DepB,"0.0")&amp;"m"&amp;" ("&amp;"€"&amp;TEXT(DepB_max,"0.0")&amp;"m"&amp;"*)"&amp;CHAR(10)&amp;"depreciation"</f>
        <v>€3.0m (€2.1m*)
depreciation</v>
      </c>
    </row>
    <row r="7" spans="2:10" ht="61.5" customHeight="1" x14ac:dyDescent="0.3">
      <c r="B7" s="30" t="str">
        <f>"No supplier &gt; "&amp;TEXT(G_Supplier,"0%")</f>
        <v>No supplier &gt; 60%</v>
      </c>
      <c r="C7" s="31" t="str">
        <f>"A: "&amp;TEXT(LeadA,"0%")&amp;"/"&amp;TEXT(1-LeadA,"0%")&amp;" Asia; B: "&amp;TEXT(SplitB,"0%")&amp;" EU / "&amp;TEXT(1-SplitB,"0%")&amp;" Asia; magnets €"&amp;TEXT(MagSpend,"0.00")&amp;"m/yr; German margin €"&amp;TEXT(GermanMargin,"0.0")&amp;"m"</f>
        <v>A: 60%/40% Asia; B: 60% EU / 40% Asia; magnets €3.52m/yr; German margin €3.6m</v>
      </c>
      <c r="D7" s="31" t="str">
        <f>"Magnet buffer "&amp;TEXT(MagSpend,"0.00")&amp;" × "&amp;MagBufWk&amp;"/52 = €"&amp;TEXT(MagBuf,"0.0")&amp;"m; German loss = p × €"&amp;TEXT(GermanMargin,"0.0")&amp;"m"</f>
        <v>Magnet buffer 3.52 × 12/52 = €0.8m; German loss = p × €3.6m</v>
      </c>
      <c r="E7" s="32" t="str">
        <f>St_S_A&amp;CHAR(10)&amp;TEXT(LeadA,"0%")&amp;"/"&amp;TEXT(1-LeadA,"0%")&amp;", both by sea"</f>
        <v>Pass
60%/40%, both by sea</v>
      </c>
      <c r="F7" s="32" t="str">
        <f>St_S_B&amp;CHAR(10)&amp;"once operational"</f>
        <v>Pass
once operational</v>
      </c>
      <c r="G7" s="31" t="str">
        <f>"Rare earths "&amp;TEXT(PreBase,"0%")&amp;" → "&amp;TEXT(PreStress,"0%")&amp;": magnets uncovered"</f>
        <v>Rare earths 20% → 50%: magnets uncovered</v>
      </c>
      <c r="H7" s="31" t="str">
        <f>"Same: magnets uncovered"</f>
        <v>Same: magnets uncovered</v>
      </c>
      <c r="I7" s="32" t="str">
        <f>"€"&amp;TEXT(GerA_b,"0.0")&amp;"m"&amp;" / "&amp;"€"&amp;TEXT(GerA_s,"0.0")&amp;"m"&amp;CHAR(10)&amp;"German contracts"</f>
        <v>€1.8m / €3.6m
German contracts</v>
      </c>
      <c r="J7" s="32" t="str">
        <f>"€0m"&amp;CHAR(10)&amp;"German contracts"</f>
        <v>€0m
German contracts</v>
      </c>
    </row>
    <row r="8" spans="2:10" ht="61.5" customHeight="1" x14ac:dyDescent="0.3">
      <c r="B8" s="33" t="str">
        <f>"Delivery ≥ "&amp;TEXT(G_Delivery,"0%")</f>
        <v>Delivery ≥ 95%</v>
      </c>
      <c r="C8" s="34" t="str">
        <f>"Lead time "&amp;LeadNorm&amp;" → "&amp;LeadMin&amp;"–"&amp;LeadMax&amp;" wks; "&amp;InvA_wk&amp;" wks of stock; €"&amp;TEXT(CostWk,"0.0")&amp;"m/wk; carrying "&amp;TEXT(Carry,"0%")&amp;"/yr; B live at month "&amp;BuildMonths</f>
        <v>Lead time 10 → 20–26 wks; 10 wks of stock; €0.5m/wk; carrying 20%/yr; B live at month 15</v>
      </c>
      <c r="D8" s="34" t="str">
        <f>"Gap "&amp;TEXT((LeadMin+LeadMax)/2,"0")&amp;" − "&amp;InvA_wk&amp;" = "&amp;TEXT(Gap,"0")&amp;" wks; A: p × "&amp;TEXT(Gap,"0")&amp;" × "&amp;TEXT(CostWk,"0.0")&amp;"; B: p × "&amp;BuildInH&amp;"/"&amp;HorizonM&amp;" × "&amp;TEXT(LossEvent,"0.0")</f>
        <v>Gap 23 − 10 = 13 wks; A: p × 13 × 0.5; B: p × 15/36 × 6.5</v>
      </c>
      <c r="E8" s="35" t="str">
        <f>St_D_A&amp;CHAR(10)&amp;IF(Gap&gt;0,TEXT(Gap,"0")&amp;"-week gap","stock covers the disruption")</f>
        <v>Conditional
13-week gap</v>
      </c>
      <c r="F8" s="35" t="str">
        <f>St_D_B&amp;CHAR(10)&amp;"during "&amp;BuildMonths&amp;"-month build"</f>
        <v>Conditional
during 15-month build</v>
      </c>
      <c r="G8" s="34" t="str">
        <f>"Disruption "&amp;TEXT(PdisBase,"0%")&amp;" → "&amp;TEXT(PdisStress,"0%")&amp;": loss "&amp;"€"&amp;TEXT(DisA_b,"0.0")&amp;"m"&amp;" → "&amp;"€"&amp;TEXT(DisA_s,"0.0")&amp;"m"</f>
        <v>Disruption 30% → 60%: loss €2.0m → €3.9m</v>
      </c>
      <c r="H8" s="34" t="str">
        <f>"Loss "&amp;"€"&amp;TEXT(DisB_b,"0.0")&amp;"m"&amp;" → "&amp;"€"&amp;TEXT(DisB_s,"0.0")&amp;"m"</f>
        <v>Loss €0.8m → €1.6m</v>
      </c>
      <c r="I8" s="35" t="str">
        <f>"€"&amp;TEXT(StockA+DisA_b,"0.0")&amp;"m"&amp;" / "&amp;"€"&amp;TEXT(StockA+DisA_s,"0.0")&amp;"m"&amp;CHAR(10)&amp;"stock + disruption"</f>
        <v>€3.5m / €5.4m
stock + disruption</v>
      </c>
      <c r="J8" s="35" t="str">
        <f>"€"&amp;TEXT(StockB+DisB_b,"0.0")&amp;"m"&amp;" / "&amp;"€"&amp;TEXT(StockB+DisB_s,"0.0")&amp;"m"&amp;CHAR(10)&amp;"stock + disruption"</f>
        <v>€1.8m / €2.6m
stock + disruption</v>
      </c>
    </row>
    <row r="9" spans="2:10" ht="33.75" customHeight="1" x14ac:dyDescent="0.3">
      <c r="B9" s="1" t="s">
        <v>210</v>
      </c>
      <c r="C9" s="1"/>
      <c r="D9" s="1"/>
      <c r="E9" s="1"/>
      <c r="F9" s="1"/>
      <c r="G9" s="1"/>
      <c r="H9" s="1"/>
      <c r="I9" s="36" t="str">
        <f>"€"&amp;TEXT(TotA_b,"0.0")&amp;"m"&amp;" / "&amp;"€"&amp;TEXT(TotA_s,"0.0")&amp;"m"</f>
        <v>€6.9m / €10.6m</v>
      </c>
      <c r="J9" s="36" t="str">
        <f>"€"&amp;TEXT(TotB_b,"0.0")&amp;"m"&amp;" / "&amp;"€"&amp;TEXT(TotB_s,"0.0")&amp;"m"&amp;CHAR(10)&amp;"€"&amp;TEXT(TotB_b_max,"0.0")&amp;"m"&amp;" / "&amp;"€"&amp;TEXT(TotB_s_max,"0.0")&amp;"m"&amp;"*"</f>
        <v>€4.8m / €5.6m
€3.9m / €4.7m*</v>
      </c>
    </row>
    <row r="11" spans="2:10" x14ac:dyDescent="0.3">
      <c r="B11" s="37" t="str">
        <f>"* with "&amp;TEXT(CofundMax,"0%")&amp;" co-funding. Cost allocation by guardrail is a presentation choice; columns add up to the totals."</f>
        <v>* with 30% co-funding. Cost allocation by guardrail is a presentation choice; columns add up to the totals.</v>
      </c>
    </row>
    <row r="12" spans="2:10" x14ac:dyDescent="0.3">
      <c r="B12" s="38" t="str">
        <f>IF(WinBase=WinStress,WinBase&amp;" is cheaper in both scenarios.",WinBase&amp;" is cheaper in the base case; "&amp;WinStress&amp;" wins under stress.")</f>
        <v>Option B is cheaper in both scenarios.</v>
      </c>
    </row>
  </sheetData>
  <mergeCells count="1">
    <mergeCell ref="B9:H9"/>
  </mergeCells>
  <conditionalFormatting sqref="E5:F8">
    <cfRule type="expression" dxfId="2" priority="2">
      <formula>LEFT(E5,4)="Pass"</formula>
    </cfRule>
    <cfRule type="expression" dxfId="1" priority="3">
      <formula>LEFT(E5,11)="Conditional"</formula>
    </cfRule>
    <cfRule type="expression" dxfId="0" priority="4">
      <formula>LEFT(E5,4)="Fail"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100</vt:i4>
      </vt:variant>
    </vt:vector>
  </HeadingPairs>
  <TitlesOfParts>
    <vt:vector size="104" baseType="lpstr">
      <vt:lpstr>Inputs</vt:lpstr>
      <vt:lpstr>Calc</vt:lpstr>
      <vt:lpstr>Debrief</vt:lpstr>
      <vt:lpstr>Summary</vt:lpstr>
      <vt:lpstr>BuildInH</vt:lpstr>
      <vt:lpstr>BuildMonths</vt:lpstr>
      <vt:lpstr>CapexB</vt:lpstr>
      <vt:lpstr>Carry</vt:lpstr>
      <vt:lpstr>CarryA_yr</vt:lpstr>
      <vt:lpstr>CofundMax</vt:lpstr>
      <vt:lpstr>CofundReq</vt:lpstr>
      <vt:lpstr>CofundSecured</vt:lpstr>
      <vt:lpstr>CondBand</vt:lpstr>
      <vt:lpstr>CostWk</vt:lpstr>
      <vt:lpstr>DepB</vt:lpstr>
      <vt:lpstr>DepB_max</vt:lpstr>
      <vt:lpstr>DepYears</vt:lpstr>
      <vt:lpstr>DirectA</vt:lpstr>
      <vt:lpstr>DirectB</vt:lpstr>
      <vt:lpstr>DirectB_max</vt:lpstr>
      <vt:lpstr>DisA_b</vt:lpstr>
      <vt:lpstr>DisA_s</vt:lpstr>
      <vt:lpstr>DisB_b</vt:lpstr>
      <vt:lpstr>DisB_s</vt:lpstr>
      <vt:lpstr>EBITDA_A</vt:lpstr>
      <vt:lpstr>EBITDA_A_carry</vt:lpstr>
      <vt:lpstr>EBITDA_B</vt:lpstr>
      <vt:lpstr>EBITDA_m</vt:lpstr>
      <vt:lpstr>EBITDA0</vt:lpstr>
      <vt:lpstr>ExposureB</vt:lpstr>
      <vt:lpstr>G_Delivery</vt:lpstr>
      <vt:lpstr>G_EBITDA</vt:lpstr>
      <vt:lpstr>G_Inv</vt:lpstr>
      <vt:lpstr>G_Supplier</vt:lpstr>
      <vt:lpstr>Gap</vt:lpstr>
      <vt:lpstr>Gate1M</vt:lpstr>
      <vt:lpstr>Gate2M</vt:lpstr>
      <vt:lpstr>GerA_b</vt:lpstr>
      <vt:lpstr>GerA_s</vt:lpstr>
      <vt:lpstr>German</vt:lpstr>
      <vt:lpstr>GermanMargin</vt:lpstr>
      <vt:lpstr>GM</vt:lpstr>
      <vt:lpstr>HorizonM</vt:lpstr>
      <vt:lpstr>HorizonYears</vt:lpstr>
      <vt:lpstr>InvA_val</vt:lpstr>
      <vt:lpstr>InvA_wk</vt:lpstr>
      <vt:lpstr>InvB_after_wk</vt:lpstr>
      <vt:lpstr>InvB_build_wk</vt:lpstr>
      <vt:lpstr>LeadA</vt:lpstr>
      <vt:lpstr>LeadB</vt:lpstr>
      <vt:lpstr>LeadMax</vt:lpstr>
      <vt:lpstr>LeadMin</vt:lpstr>
      <vt:lpstr>LeadNorm</vt:lpstr>
      <vt:lpstr>LossEvent</vt:lpstr>
      <vt:lpstr>M1</vt:lpstr>
      <vt:lpstr>M2</vt:lpstr>
      <vt:lpstr>M3</vt:lpstr>
      <vt:lpstr>MagBuf</vt:lpstr>
      <vt:lpstr>MagBufWk</vt:lpstr>
      <vt:lpstr>MagCost</vt:lpstr>
      <vt:lpstr>MagSpend</vt:lpstr>
      <vt:lpstr>ModCost</vt:lpstr>
      <vt:lpstr>ModSpend</vt:lpstr>
      <vt:lpstr>NetInvB</vt:lpstr>
      <vt:lpstr>PdisBase</vt:lpstr>
      <vt:lpstr>PdisStress</vt:lpstr>
      <vt:lpstr>PlvBase</vt:lpstr>
      <vt:lpstr>PlvStress</vt:lpstr>
      <vt:lpstr>PreBase</vt:lpstr>
      <vt:lpstr>PremA</vt:lpstr>
      <vt:lpstr>PremA_tot</vt:lpstr>
      <vt:lpstr>PremA_yr</vt:lpstr>
      <vt:lpstr>PremB_tot</vt:lpstr>
      <vt:lpstr>PremB1</vt:lpstr>
      <vt:lpstr>PremB1_yr</vt:lpstr>
      <vt:lpstr>PremB2</vt:lpstr>
      <vt:lpstr>PremB3</vt:lpstr>
      <vt:lpstr>PreStress</vt:lpstr>
      <vt:lpstr>ProdM</vt:lpstr>
      <vt:lpstr>QualA</vt:lpstr>
      <vt:lpstr>Reco</vt:lpstr>
      <vt:lpstr>Rev</vt:lpstr>
      <vt:lpstr>SplitA</vt:lpstr>
      <vt:lpstr>SplitB</vt:lpstr>
      <vt:lpstr>St_D_A</vt:lpstr>
      <vt:lpstr>St_D_B</vt:lpstr>
      <vt:lpstr>St_E_A</vt:lpstr>
      <vt:lpstr>St_E_B</vt:lpstr>
      <vt:lpstr>St_I_A</vt:lpstr>
      <vt:lpstr>St_I_B</vt:lpstr>
      <vt:lpstr>St_S_A</vt:lpstr>
      <vt:lpstr>St_S_B</vt:lpstr>
      <vt:lpstr>StockA</vt:lpstr>
      <vt:lpstr>StockB</vt:lpstr>
      <vt:lpstr>TotA_b</vt:lpstr>
      <vt:lpstr>TotA_s</vt:lpstr>
      <vt:lpstr>TotB_b</vt:lpstr>
      <vt:lpstr>TotB_b_max</vt:lpstr>
      <vt:lpstr>TotB_s</vt:lpstr>
      <vt:lpstr>TotB_s_max</vt:lpstr>
      <vt:lpstr>TriggerWk</vt:lpstr>
      <vt:lpstr>Units</vt:lpstr>
      <vt:lpstr>WinBase</vt:lpstr>
      <vt:lpstr>WinStress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laurent perier</cp:lastModifiedBy>
  <cp:revision>0</cp:revision>
  <dcterms:created xsi:type="dcterms:W3CDTF">2026-10-03T18:11:17Z</dcterms:created>
  <dcterms:modified xsi:type="dcterms:W3CDTF">2026-10-03T18:32:58Z</dcterms:modified>
  <dc:language>en-US</dc:language>
</cp:coreProperties>
</file>