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5b0a9d8085dd976/Desktop/Documents/Laurent/Training IA/Agents IA/TWIN agents IA/Prévision des ventes-master/"/>
    </mc:Choice>
  </mc:AlternateContent>
  <xr:revisionPtr revIDLastSave="0" documentId="6_{DD89EDA8-AB2E-4EC2-8C9A-EE09AA3E7C92}" xr6:coauthVersionLast="47" xr6:coauthVersionMax="47" xr10:uidLastSave="{00000000-0000-0000-0000-000000000000}"/>
  <bookViews>
    <workbookView xWindow="-21720" yWindow="-3480" windowWidth="21840" windowHeight="13020" xr2:uid="{00000000-000D-0000-FFFF-FFFF00000000}"/>
  </bookViews>
  <sheets>
    <sheet name="Historique" sheetId="1" r:id="rId1"/>
    <sheet name="Methode 0" sheetId="2" r:id="rId2"/>
    <sheet name="Initiale" sheetId="3" r:id="rId3"/>
    <sheet name="Optimisée" sheetId="4" r:id="rId4"/>
    <sheet name="Données" sheetId="5" r:id="rId5"/>
    <sheet name="Python" sheetId="6" r:id="rId6"/>
    <sheet name="Combinée" sheetId="7" r:id="rId7"/>
    <sheet name="Simplifiée" sheetId="8" r:id="rId8"/>
    <sheet name="Synthèse" sheetId="9" r:id="rId9"/>
    <sheet name="Conclusion" sheetId="10" r:id="rId10"/>
    <sheet name="Recommandation" sheetId="11" r:id="rId11"/>
    <sheet name="Graphique des ventes" sheetId="12" r:id="rId12"/>
    <sheet name="Pipeline 3 méthodes" sheetId="13" r:id="rId13"/>
    <sheet name="Synthèse (3 méthodes)" sheetId="14" r:id="rId14"/>
    <sheet name="Méthode &amp; graphiques"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5" l="1"/>
  <c r="E23" i="15"/>
  <c r="E22" i="15"/>
  <c r="E21" i="15"/>
  <c r="P64" i="13"/>
  <c r="J64" i="13"/>
  <c r="I64" i="13"/>
  <c r="P63" i="13"/>
  <c r="J63" i="13"/>
  <c r="I63" i="13"/>
  <c r="P62" i="13"/>
  <c r="J62" i="13"/>
  <c r="I62" i="13"/>
  <c r="P61" i="13"/>
  <c r="J61" i="13"/>
  <c r="I61" i="13"/>
  <c r="P60" i="13"/>
  <c r="J60" i="13"/>
  <c r="I60" i="13"/>
  <c r="P59" i="13"/>
  <c r="J59" i="13"/>
  <c r="I59" i="13"/>
  <c r="P58" i="13"/>
  <c r="J58" i="13"/>
  <c r="I58" i="13"/>
  <c r="P57" i="13"/>
  <c r="J57" i="13"/>
  <c r="I57" i="13"/>
  <c r="P56" i="13"/>
  <c r="J56" i="13"/>
  <c r="I56" i="13"/>
  <c r="P55" i="13"/>
  <c r="J55" i="13"/>
  <c r="I55" i="13"/>
  <c r="P54" i="13"/>
  <c r="J54" i="13"/>
  <c r="K54" i="13" s="1"/>
  <c r="L54" i="13" s="1"/>
  <c r="I54" i="13"/>
  <c r="P53" i="13"/>
  <c r="J53" i="13"/>
  <c r="I53" i="13"/>
  <c r="P49" i="13"/>
  <c r="J49" i="13"/>
  <c r="I49" i="13"/>
  <c r="P48" i="13"/>
  <c r="J48" i="13"/>
  <c r="I48" i="13"/>
  <c r="P47" i="13"/>
  <c r="J47" i="13"/>
  <c r="K47" i="13" s="1"/>
  <c r="L47" i="13" s="1"/>
  <c r="I47" i="13"/>
  <c r="P46" i="13"/>
  <c r="J46" i="13"/>
  <c r="I46" i="13"/>
  <c r="P45" i="13"/>
  <c r="J45" i="13"/>
  <c r="I45" i="13"/>
  <c r="P44" i="13"/>
  <c r="J44" i="13"/>
  <c r="I44" i="13"/>
  <c r="P43" i="13"/>
  <c r="J43" i="13"/>
  <c r="I43" i="13"/>
  <c r="P42" i="13"/>
  <c r="J42" i="13"/>
  <c r="I42" i="13"/>
  <c r="P41" i="13"/>
  <c r="J41" i="13"/>
  <c r="I41" i="13"/>
  <c r="K41" i="13" s="1"/>
  <c r="P40" i="13"/>
  <c r="J40" i="13"/>
  <c r="I40" i="13"/>
  <c r="P39" i="13"/>
  <c r="J39" i="13"/>
  <c r="I39" i="13"/>
  <c r="P38" i="13"/>
  <c r="J38" i="13"/>
  <c r="I38" i="13"/>
  <c r="P34" i="13"/>
  <c r="J34" i="13"/>
  <c r="I34" i="13"/>
  <c r="P33" i="13"/>
  <c r="J33" i="13"/>
  <c r="I33" i="13"/>
  <c r="P32" i="13"/>
  <c r="J32" i="13"/>
  <c r="I32" i="13"/>
  <c r="P31" i="13"/>
  <c r="J31" i="13"/>
  <c r="I31" i="13"/>
  <c r="P30" i="13"/>
  <c r="J30" i="13"/>
  <c r="I30" i="13"/>
  <c r="P29" i="13"/>
  <c r="J29" i="13"/>
  <c r="I29" i="13"/>
  <c r="P28" i="13"/>
  <c r="J28" i="13"/>
  <c r="I28" i="13"/>
  <c r="P27" i="13"/>
  <c r="J27" i="13"/>
  <c r="I27" i="13"/>
  <c r="P26" i="13"/>
  <c r="J26" i="13"/>
  <c r="I26" i="13"/>
  <c r="P25" i="13"/>
  <c r="J25" i="13"/>
  <c r="I25" i="13"/>
  <c r="P24" i="13"/>
  <c r="J24" i="13"/>
  <c r="I24" i="13"/>
  <c r="P23" i="13"/>
  <c r="J23" i="13"/>
  <c r="I23" i="13"/>
  <c r="P19" i="13"/>
  <c r="J19" i="13"/>
  <c r="I19" i="13"/>
  <c r="P18" i="13"/>
  <c r="J18" i="13"/>
  <c r="K18" i="13" s="1"/>
  <c r="L18" i="13" s="1"/>
  <c r="I18" i="13"/>
  <c r="P17" i="13"/>
  <c r="J17" i="13"/>
  <c r="I17" i="13"/>
  <c r="P16" i="13"/>
  <c r="J16" i="13"/>
  <c r="I16" i="13"/>
  <c r="K16" i="13" s="1"/>
  <c r="P15" i="13"/>
  <c r="J15" i="13"/>
  <c r="I15" i="13"/>
  <c r="K15" i="13" s="1"/>
  <c r="P14" i="13"/>
  <c r="J14" i="13"/>
  <c r="I14" i="13"/>
  <c r="P13" i="13"/>
  <c r="J13" i="13"/>
  <c r="I13" i="13"/>
  <c r="P12" i="13"/>
  <c r="J12" i="13"/>
  <c r="I12" i="13"/>
  <c r="P11" i="13"/>
  <c r="J11" i="13"/>
  <c r="I11" i="13"/>
  <c r="P10" i="13"/>
  <c r="J10" i="13"/>
  <c r="I10" i="13"/>
  <c r="P9" i="13"/>
  <c r="J9" i="13"/>
  <c r="I9" i="13"/>
  <c r="P8" i="13"/>
  <c r="J8" i="13"/>
  <c r="I8" i="13"/>
  <c r="J67" i="10"/>
  <c r="B66" i="10"/>
  <c r="B65" i="10"/>
  <c r="B64" i="10"/>
  <c r="B63" i="10"/>
  <c r="B62" i="10"/>
  <c r="B61" i="10"/>
  <c r="B60" i="10"/>
  <c r="B59" i="10"/>
  <c r="B58" i="10"/>
  <c r="B57" i="10"/>
  <c r="B56" i="10"/>
  <c r="B55" i="10"/>
  <c r="J50" i="10"/>
  <c r="B49" i="10"/>
  <c r="B48" i="10"/>
  <c r="B47" i="10"/>
  <c r="B46" i="10"/>
  <c r="B45" i="10"/>
  <c r="B44" i="10"/>
  <c r="B43" i="10"/>
  <c r="B42" i="10"/>
  <c r="B41" i="10"/>
  <c r="B40" i="10"/>
  <c r="B39" i="10"/>
  <c r="B38" i="10"/>
  <c r="E38" i="9"/>
  <c r="E37" i="9"/>
  <c r="E36" i="9"/>
  <c r="E35" i="9"/>
  <c r="H72" i="8"/>
  <c r="G72" i="8"/>
  <c r="H71" i="8"/>
  <c r="G71" i="8"/>
  <c r="H70" i="8"/>
  <c r="G70" i="8"/>
  <c r="H69" i="8"/>
  <c r="G69" i="8"/>
  <c r="H68" i="8"/>
  <c r="G68" i="8"/>
  <c r="H67" i="8"/>
  <c r="G67" i="8"/>
  <c r="H66" i="8"/>
  <c r="G66" i="8"/>
  <c r="H65" i="8"/>
  <c r="G65" i="8"/>
  <c r="H64" i="8"/>
  <c r="G64" i="8"/>
  <c r="H63" i="8"/>
  <c r="G63" i="8"/>
  <c r="H62" i="8"/>
  <c r="G62" i="8"/>
  <c r="H61" i="8"/>
  <c r="G61" i="8"/>
  <c r="H54" i="8"/>
  <c r="G54" i="8"/>
  <c r="H53" i="8"/>
  <c r="G53" i="8"/>
  <c r="H52" i="8"/>
  <c r="G52" i="8"/>
  <c r="H51" i="8"/>
  <c r="G51" i="8"/>
  <c r="H50" i="8"/>
  <c r="G50" i="8"/>
  <c r="H49" i="8"/>
  <c r="G49" i="8"/>
  <c r="H48" i="8"/>
  <c r="G48" i="8"/>
  <c r="H47" i="8"/>
  <c r="G47" i="8"/>
  <c r="H46" i="8"/>
  <c r="G46" i="8"/>
  <c r="H45" i="8"/>
  <c r="G45" i="8"/>
  <c r="H44" i="8"/>
  <c r="G44" i="8"/>
  <c r="H43" i="8"/>
  <c r="G43" i="8"/>
  <c r="J36" i="8"/>
  <c r="I36" i="8"/>
  <c r="J35" i="8"/>
  <c r="I35" i="8"/>
  <c r="J34" i="8"/>
  <c r="I34" i="8"/>
  <c r="J33" i="8"/>
  <c r="I33" i="8"/>
  <c r="J32" i="8"/>
  <c r="I32" i="8"/>
  <c r="J31" i="8"/>
  <c r="I31" i="8"/>
  <c r="J30" i="8"/>
  <c r="I30" i="8"/>
  <c r="J29" i="8"/>
  <c r="I29" i="8"/>
  <c r="J28" i="8"/>
  <c r="I28" i="8"/>
  <c r="J27" i="8"/>
  <c r="I27" i="8"/>
  <c r="J26" i="8"/>
  <c r="I26" i="8"/>
  <c r="J25" i="8"/>
  <c r="I25" i="8"/>
  <c r="J20" i="8"/>
  <c r="I20" i="8"/>
  <c r="J19" i="8"/>
  <c r="I19" i="8"/>
  <c r="J18" i="8"/>
  <c r="I18" i="8"/>
  <c r="J17" i="8"/>
  <c r="I17" i="8"/>
  <c r="J16" i="8"/>
  <c r="I16" i="8"/>
  <c r="J15" i="8"/>
  <c r="I15" i="8"/>
  <c r="J14" i="8"/>
  <c r="I14" i="8"/>
  <c r="J13" i="8"/>
  <c r="I13" i="8"/>
  <c r="J12" i="8"/>
  <c r="I12" i="8"/>
  <c r="J11" i="8"/>
  <c r="I11" i="8"/>
  <c r="J10" i="8"/>
  <c r="I10" i="8"/>
  <c r="J9" i="8"/>
  <c r="I9" i="8"/>
  <c r="B4" i="8"/>
  <c r="Z85" i="7"/>
  <c r="Y85" i="7"/>
  <c r="X85" i="7"/>
  <c r="AO84" i="7"/>
  <c r="AK84" i="7"/>
  <c r="AJ84" i="7"/>
  <c r="AH84" i="7"/>
  <c r="AG84" i="7"/>
  <c r="F84" i="7"/>
  <c r="E84" i="7"/>
  <c r="D84" i="7"/>
  <c r="C84" i="7"/>
  <c r="B84" i="7"/>
  <c r="AO83" i="7"/>
  <c r="AK83" i="7"/>
  <c r="AJ83" i="7"/>
  <c r="AH83" i="7"/>
  <c r="AG83" i="7"/>
  <c r="F83" i="7"/>
  <c r="E83" i="7"/>
  <c r="D83" i="7"/>
  <c r="C83" i="7"/>
  <c r="B83" i="7"/>
  <c r="AO82" i="7"/>
  <c r="AK82" i="7"/>
  <c r="AJ82" i="7"/>
  <c r="AH82" i="7"/>
  <c r="AG82" i="7"/>
  <c r="F82" i="7"/>
  <c r="E82" i="7"/>
  <c r="D82" i="7"/>
  <c r="C82" i="7"/>
  <c r="B82" i="7"/>
  <c r="AO81" i="7"/>
  <c r="AK81" i="7"/>
  <c r="AJ81" i="7"/>
  <c r="AH81" i="7"/>
  <c r="AG81" i="7"/>
  <c r="F81" i="7"/>
  <c r="E81" i="7"/>
  <c r="D81" i="7"/>
  <c r="C81" i="7"/>
  <c r="B81" i="7"/>
  <c r="AO80" i="7"/>
  <c r="AK80" i="7"/>
  <c r="AJ80" i="7"/>
  <c r="AH80" i="7"/>
  <c r="AG80" i="7"/>
  <c r="F80" i="7"/>
  <c r="E80" i="7"/>
  <c r="D80" i="7"/>
  <c r="C80" i="7"/>
  <c r="B80" i="7"/>
  <c r="AO79" i="7"/>
  <c r="AK79" i="7"/>
  <c r="AJ79" i="7"/>
  <c r="AH79" i="7"/>
  <c r="AG79" i="7"/>
  <c r="F79" i="7"/>
  <c r="E79" i="7"/>
  <c r="D79" i="7"/>
  <c r="C79" i="7"/>
  <c r="B79" i="7"/>
  <c r="AO78" i="7"/>
  <c r="AK78" i="7"/>
  <c r="AJ78" i="7"/>
  <c r="AH78" i="7"/>
  <c r="AG78" i="7"/>
  <c r="F78" i="7"/>
  <c r="E78" i="7"/>
  <c r="D78" i="7"/>
  <c r="C78" i="7"/>
  <c r="B78" i="7"/>
  <c r="AO77" i="7"/>
  <c r="AK77" i="7"/>
  <c r="AJ77" i="7"/>
  <c r="AH77" i="7"/>
  <c r="AG77" i="7"/>
  <c r="F77" i="7"/>
  <c r="E77" i="7"/>
  <c r="D77" i="7"/>
  <c r="C77" i="7"/>
  <c r="B77" i="7"/>
  <c r="AO76" i="7"/>
  <c r="AK76" i="7"/>
  <c r="AJ76" i="7"/>
  <c r="AH76" i="7"/>
  <c r="AG76" i="7"/>
  <c r="F76" i="7"/>
  <c r="E76" i="7"/>
  <c r="D76" i="7"/>
  <c r="C76" i="7"/>
  <c r="B76" i="7"/>
  <c r="AO75" i="7"/>
  <c r="AK75" i="7"/>
  <c r="AJ75" i="7"/>
  <c r="AH75" i="7"/>
  <c r="AG75" i="7"/>
  <c r="F75" i="7"/>
  <c r="E75" i="7"/>
  <c r="D75" i="7"/>
  <c r="C75" i="7"/>
  <c r="B75" i="7"/>
  <c r="AO74" i="7"/>
  <c r="AK74" i="7"/>
  <c r="AJ74" i="7"/>
  <c r="AH74" i="7"/>
  <c r="AG74" i="7"/>
  <c r="F74" i="7"/>
  <c r="E74" i="7"/>
  <c r="D74" i="7"/>
  <c r="C74" i="7"/>
  <c r="B74" i="7"/>
  <c r="AO73" i="7"/>
  <c r="AK73" i="7"/>
  <c r="AJ73" i="7"/>
  <c r="AH73" i="7"/>
  <c r="AG73" i="7"/>
  <c r="F73" i="7"/>
  <c r="E73" i="7"/>
  <c r="D73" i="7"/>
  <c r="C73" i="7"/>
  <c r="B73" i="7"/>
  <c r="Z68" i="7"/>
  <c r="Y68" i="7"/>
  <c r="X68" i="7"/>
  <c r="AO67" i="7"/>
  <c r="AK67" i="7"/>
  <c r="AJ67" i="7"/>
  <c r="AH67" i="7"/>
  <c r="AG67" i="7"/>
  <c r="F67" i="7"/>
  <c r="E67" i="7"/>
  <c r="D67" i="7"/>
  <c r="C67" i="7"/>
  <c r="B67" i="7"/>
  <c r="G67" i="7" s="1"/>
  <c r="AO66" i="7"/>
  <c r="AK66" i="7"/>
  <c r="AJ66" i="7"/>
  <c r="AH66" i="7"/>
  <c r="AG66" i="7"/>
  <c r="F66" i="7"/>
  <c r="E66" i="7"/>
  <c r="D66" i="7"/>
  <c r="C66" i="7"/>
  <c r="B66" i="7"/>
  <c r="AO65" i="7"/>
  <c r="AK65" i="7"/>
  <c r="AJ65" i="7"/>
  <c r="AH65" i="7"/>
  <c r="AG65" i="7"/>
  <c r="F65" i="7"/>
  <c r="E65" i="7"/>
  <c r="D65" i="7"/>
  <c r="C65" i="7"/>
  <c r="B65" i="7"/>
  <c r="AO64" i="7"/>
  <c r="AK64" i="7"/>
  <c r="AJ64" i="7"/>
  <c r="AH64" i="7"/>
  <c r="AG64" i="7"/>
  <c r="F64" i="7"/>
  <c r="E64" i="7"/>
  <c r="D64" i="7"/>
  <c r="C64" i="7"/>
  <c r="B64" i="7"/>
  <c r="AO63" i="7"/>
  <c r="AK63" i="7"/>
  <c r="AJ63" i="7"/>
  <c r="AH63" i="7"/>
  <c r="AG63" i="7"/>
  <c r="F63" i="7"/>
  <c r="E63" i="7"/>
  <c r="D63" i="7"/>
  <c r="C63" i="7"/>
  <c r="B63" i="7"/>
  <c r="AO62" i="7"/>
  <c r="AK62" i="7"/>
  <c r="AJ62" i="7"/>
  <c r="AH62" i="7"/>
  <c r="AG62" i="7"/>
  <c r="F62" i="7"/>
  <c r="E62" i="7"/>
  <c r="D62" i="7"/>
  <c r="C62" i="7"/>
  <c r="B62" i="7"/>
  <c r="AO61" i="7"/>
  <c r="AK61" i="7"/>
  <c r="AJ61" i="7"/>
  <c r="AH61" i="7"/>
  <c r="AG61" i="7"/>
  <c r="F61" i="7"/>
  <c r="E61" i="7"/>
  <c r="D61" i="7"/>
  <c r="C61" i="7"/>
  <c r="B61" i="7"/>
  <c r="AO60" i="7"/>
  <c r="AK60" i="7"/>
  <c r="AJ60" i="7"/>
  <c r="AH60" i="7"/>
  <c r="AG60" i="7"/>
  <c r="F60" i="7"/>
  <c r="E60" i="7"/>
  <c r="D60" i="7"/>
  <c r="C60" i="7"/>
  <c r="B60" i="7"/>
  <c r="AO59" i="7"/>
  <c r="AK59" i="7"/>
  <c r="AJ59" i="7"/>
  <c r="AH59" i="7"/>
  <c r="AG59" i="7"/>
  <c r="F59" i="7"/>
  <c r="E59" i="7"/>
  <c r="D59" i="7"/>
  <c r="C59" i="7"/>
  <c r="B59" i="7"/>
  <c r="AO58" i="7"/>
  <c r="AK58" i="7"/>
  <c r="AJ58" i="7"/>
  <c r="AH58" i="7"/>
  <c r="AG58" i="7"/>
  <c r="F58" i="7"/>
  <c r="E58" i="7"/>
  <c r="D58" i="7"/>
  <c r="C58" i="7"/>
  <c r="B58" i="7"/>
  <c r="AO57" i="7"/>
  <c r="AK57" i="7"/>
  <c r="AJ57" i="7"/>
  <c r="AH57" i="7"/>
  <c r="AG57" i="7"/>
  <c r="F57" i="7"/>
  <c r="E57" i="7"/>
  <c r="D57" i="7"/>
  <c r="C57" i="7"/>
  <c r="B57" i="7"/>
  <c r="AO56" i="7"/>
  <c r="AK56" i="7"/>
  <c r="AJ56" i="7"/>
  <c r="AH56" i="7"/>
  <c r="AG56" i="7"/>
  <c r="F56" i="7"/>
  <c r="E56" i="7"/>
  <c r="D56" i="7"/>
  <c r="C56" i="7"/>
  <c r="B56" i="7"/>
  <c r="Y51" i="7"/>
  <c r="X51" i="7"/>
  <c r="AO50" i="7"/>
  <c r="AK50" i="7"/>
  <c r="AJ50" i="7"/>
  <c r="AH50" i="7"/>
  <c r="AG50" i="7"/>
  <c r="F50" i="7"/>
  <c r="E50" i="7"/>
  <c r="D50" i="7"/>
  <c r="C50" i="7"/>
  <c r="B50" i="7"/>
  <c r="AO49" i="7"/>
  <c r="AK49" i="7"/>
  <c r="AJ49" i="7"/>
  <c r="AH49" i="7"/>
  <c r="AG49" i="7"/>
  <c r="F49" i="7"/>
  <c r="E49" i="7"/>
  <c r="D49" i="7"/>
  <c r="C49" i="7"/>
  <c r="B49" i="7"/>
  <c r="AO48" i="7"/>
  <c r="AK48" i="7"/>
  <c r="AJ48" i="7"/>
  <c r="AH48" i="7"/>
  <c r="AG48" i="7"/>
  <c r="F48" i="7"/>
  <c r="E48" i="7"/>
  <c r="D48" i="7"/>
  <c r="C48" i="7"/>
  <c r="B48" i="7"/>
  <c r="AO47" i="7"/>
  <c r="AK47" i="7"/>
  <c r="AJ47" i="7"/>
  <c r="AH47" i="7"/>
  <c r="AG47" i="7"/>
  <c r="F47" i="7"/>
  <c r="E47" i="7"/>
  <c r="D47" i="7"/>
  <c r="C47" i="7"/>
  <c r="B47" i="7"/>
  <c r="AO46" i="7"/>
  <c r="AK46" i="7"/>
  <c r="AJ46" i="7"/>
  <c r="AH46" i="7"/>
  <c r="AG46" i="7"/>
  <c r="F46" i="7"/>
  <c r="E46" i="7"/>
  <c r="D46" i="7"/>
  <c r="C46" i="7"/>
  <c r="H46" i="7" s="1"/>
  <c r="B46" i="7"/>
  <c r="AO45" i="7"/>
  <c r="AK45" i="7"/>
  <c r="AJ45" i="7"/>
  <c r="AH45" i="7"/>
  <c r="AG45" i="7"/>
  <c r="F45" i="7"/>
  <c r="E45" i="7"/>
  <c r="D45" i="7"/>
  <c r="C45" i="7"/>
  <c r="B45" i="7"/>
  <c r="AO44" i="7"/>
  <c r="AK44" i="7"/>
  <c r="AJ44" i="7"/>
  <c r="AH44" i="7"/>
  <c r="AG44" i="7"/>
  <c r="F44" i="7"/>
  <c r="E44" i="7"/>
  <c r="D44" i="7"/>
  <c r="C44" i="7"/>
  <c r="B44" i="7"/>
  <c r="AO43" i="7"/>
  <c r="AK43" i="7"/>
  <c r="AJ43" i="7"/>
  <c r="AH43" i="7"/>
  <c r="AG43" i="7"/>
  <c r="F43" i="7"/>
  <c r="E43" i="7"/>
  <c r="D43" i="7"/>
  <c r="C43" i="7"/>
  <c r="B43" i="7"/>
  <c r="AO42" i="7"/>
  <c r="AK42" i="7"/>
  <c r="AJ42" i="7"/>
  <c r="AH42" i="7"/>
  <c r="AG42" i="7"/>
  <c r="F42" i="7"/>
  <c r="E42" i="7"/>
  <c r="D42" i="7"/>
  <c r="C42" i="7"/>
  <c r="B42" i="7"/>
  <c r="AO41" i="7"/>
  <c r="AK41" i="7"/>
  <c r="AJ41" i="7"/>
  <c r="AH41" i="7"/>
  <c r="AG41" i="7"/>
  <c r="F41" i="7"/>
  <c r="E41" i="7"/>
  <c r="D41" i="7"/>
  <c r="C41" i="7"/>
  <c r="B41" i="7"/>
  <c r="AO40" i="7"/>
  <c r="AK40" i="7"/>
  <c r="AJ40" i="7"/>
  <c r="AH40" i="7"/>
  <c r="AG40" i="7"/>
  <c r="F40" i="7"/>
  <c r="E40" i="7"/>
  <c r="D40" i="7"/>
  <c r="C40" i="7"/>
  <c r="B40" i="7"/>
  <c r="AO39" i="7"/>
  <c r="AK39" i="7"/>
  <c r="AJ39" i="7"/>
  <c r="AH39" i="7"/>
  <c r="AG39" i="7"/>
  <c r="F39" i="7"/>
  <c r="E39" i="7"/>
  <c r="D39" i="7"/>
  <c r="C39" i="7"/>
  <c r="B39" i="7"/>
  <c r="Y34" i="7"/>
  <c r="X34" i="7"/>
  <c r="AO33" i="7"/>
  <c r="AK33" i="7"/>
  <c r="AJ33" i="7"/>
  <c r="AH33" i="7"/>
  <c r="AG33" i="7"/>
  <c r="F33" i="7"/>
  <c r="E33" i="7"/>
  <c r="D33" i="7"/>
  <c r="C33" i="7"/>
  <c r="B33" i="7"/>
  <c r="AO32" i="7"/>
  <c r="AK32" i="7"/>
  <c r="AJ32" i="7"/>
  <c r="AH32" i="7"/>
  <c r="AG32" i="7"/>
  <c r="F32" i="7"/>
  <c r="E32" i="7"/>
  <c r="D32" i="7"/>
  <c r="C32" i="7"/>
  <c r="B32" i="7"/>
  <c r="AO31" i="7"/>
  <c r="AK31" i="7"/>
  <c r="AJ31" i="7"/>
  <c r="AH31" i="7"/>
  <c r="AG31" i="7"/>
  <c r="F31" i="7"/>
  <c r="E31" i="7"/>
  <c r="D31" i="7"/>
  <c r="C31" i="7"/>
  <c r="B31" i="7"/>
  <c r="AO30" i="7"/>
  <c r="AK30" i="7"/>
  <c r="AJ30" i="7"/>
  <c r="AH30" i="7"/>
  <c r="AG30" i="7"/>
  <c r="F30" i="7"/>
  <c r="E30" i="7"/>
  <c r="D30" i="7"/>
  <c r="C30" i="7"/>
  <c r="B30" i="7"/>
  <c r="AO29" i="7"/>
  <c r="AK29" i="7"/>
  <c r="AJ29" i="7"/>
  <c r="AH29" i="7"/>
  <c r="AG29" i="7"/>
  <c r="F29" i="7"/>
  <c r="E29" i="7"/>
  <c r="D29" i="7"/>
  <c r="C29" i="7"/>
  <c r="B29" i="7"/>
  <c r="AO28" i="7"/>
  <c r="AK28" i="7"/>
  <c r="AJ28" i="7"/>
  <c r="AH28" i="7"/>
  <c r="AG28" i="7"/>
  <c r="F28" i="7"/>
  <c r="E28" i="7"/>
  <c r="D28" i="7"/>
  <c r="C28" i="7"/>
  <c r="B28" i="7"/>
  <c r="AO27" i="7"/>
  <c r="AK27" i="7"/>
  <c r="AJ27" i="7"/>
  <c r="AH27" i="7"/>
  <c r="AG27" i="7"/>
  <c r="F27" i="7"/>
  <c r="E27" i="7"/>
  <c r="D27" i="7"/>
  <c r="C27" i="7"/>
  <c r="B27" i="7"/>
  <c r="AO26" i="7"/>
  <c r="AK26" i="7"/>
  <c r="AJ26" i="7"/>
  <c r="AH26" i="7"/>
  <c r="AG26" i="7"/>
  <c r="F26" i="7"/>
  <c r="E26" i="7"/>
  <c r="D26" i="7"/>
  <c r="C26" i="7"/>
  <c r="B26" i="7"/>
  <c r="AO25" i="7"/>
  <c r="AK25" i="7"/>
  <c r="AJ25" i="7"/>
  <c r="AH25" i="7"/>
  <c r="AG25" i="7"/>
  <c r="F25" i="7"/>
  <c r="E25" i="7"/>
  <c r="D25" i="7"/>
  <c r="C25" i="7"/>
  <c r="B25" i="7"/>
  <c r="AO24" i="7"/>
  <c r="AK24" i="7"/>
  <c r="AJ24" i="7"/>
  <c r="AH24" i="7"/>
  <c r="AG24" i="7"/>
  <c r="F24" i="7"/>
  <c r="E24" i="7"/>
  <c r="D24" i="7"/>
  <c r="C24" i="7"/>
  <c r="B24" i="7"/>
  <c r="AO23" i="7"/>
  <c r="AK23" i="7"/>
  <c r="AJ23" i="7"/>
  <c r="AH23" i="7"/>
  <c r="AG23" i="7"/>
  <c r="F23" i="7"/>
  <c r="E23" i="7"/>
  <c r="D23" i="7"/>
  <c r="C23" i="7"/>
  <c r="B23" i="7"/>
  <c r="AO22" i="7"/>
  <c r="AK22" i="7"/>
  <c r="AJ22" i="7"/>
  <c r="AH22" i="7"/>
  <c r="AG22" i="7"/>
  <c r="F22" i="7"/>
  <c r="E22" i="7"/>
  <c r="D22" i="7"/>
  <c r="C22" i="7"/>
  <c r="B22" i="7"/>
  <c r="B15" i="7"/>
  <c r="B13" i="7"/>
  <c r="Z85" i="6"/>
  <c r="Y85" i="6"/>
  <c r="X85" i="6"/>
  <c r="AH84" i="6"/>
  <c r="AG84" i="6"/>
  <c r="F84" i="6"/>
  <c r="E84" i="6"/>
  <c r="D84" i="6"/>
  <c r="C84" i="6"/>
  <c r="B84" i="6"/>
  <c r="AH83" i="6"/>
  <c r="AG83" i="6"/>
  <c r="F83" i="6"/>
  <c r="E83" i="6"/>
  <c r="D83" i="6"/>
  <c r="C83" i="6"/>
  <c r="B83" i="6"/>
  <c r="AH82" i="6"/>
  <c r="AG82" i="6"/>
  <c r="F82" i="6"/>
  <c r="E82" i="6"/>
  <c r="D82" i="6"/>
  <c r="C82" i="6"/>
  <c r="B82" i="6"/>
  <c r="AH81" i="6"/>
  <c r="AG81" i="6"/>
  <c r="F81" i="6"/>
  <c r="E81" i="6"/>
  <c r="D81" i="6"/>
  <c r="C81" i="6"/>
  <c r="B81" i="6"/>
  <c r="AH80" i="6"/>
  <c r="AG80" i="6"/>
  <c r="F80" i="6"/>
  <c r="E80" i="6"/>
  <c r="D80" i="6"/>
  <c r="C80" i="6"/>
  <c r="B80" i="6"/>
  <c r="AH79" i="6"/>
  <c r="AG79" i="6"/>
  <c r="F79" i="6"/>
  <c r="E79" i="6"/>
  <c r="D79" i="6"/>
  <c r="C79" i="6"/>
  <c r="B79" i="6"/>
  <c r="AH78" i="6"/>
  <c r="AG78" i="6"/>
  <c r="F78" i="6"/>
  <c r="E78" i="6"/>
  <c r="D78" i="6"/>
  <c r="C78" i="6"/>
  <c r="B78" i="6"/>
  <c r="AH77" i="6"/>
  <c r="AG77" i="6"/>
  <c r="F77" i="6"/>
  <c r="E77" i="6"/>
  <c r="D77" i="6"/>
  <c r="C77" i="6"/>
  <c r="B77" i="6"/>
  <c r="AH76" i="6"/>
  <c r="AG76" i="6"/>
  <c r="F76" i="6"/>
  <c r="E76" i="6"/>
  <c r="D76" i="6"/>
  <c r="C76" i="6"/>
  <c r="B76" i="6"/>
  <c r="AH75" i="6"/>
  <c r="AG75" i="6"/>
  <c r="F75" i="6"/>
  <c r="E75" i="6"/>
  <c r="D75" i="6"/>
  <c r="C75" i="6"/>
  <c r="B75" i="6"/>
  <c r="AH74" i="6"/>
  <c r="AG74" i="6"/>
  <c r="F74" i="6"/>
  <c r="E74" i="6"/>
  <c r="D74" i="6"/>
  <c r="C74" i="6"/>
  <c r="B74" i="6"/>
  <c r="AH73" i="6"/>
  <c r="AG73" i="6"/>
  <c r="F73" i="6"/>
  <c r="E73" i="6"/>
  <c r="D73" i="6"/>
  <c r="C73" i="6"/>
  <c r="B73" i="6"/>
  <c r="Z68" i="6"/>
  <c r="Y68" i="6"/>
  <c r="X68" i="6"/>
  <c r="AH67" i="6"/>
  <c r="AG67" i="6"/>
  <c r="F67" i="6"/>
  <c r="E67" i="6"/>
  <c r="D67" i="6"/>
  <c r="C67" i="6"/>
  <c r="B67" i="6"/>
  <c r="AH66" i="6"/>
  <c r="AG66" i="6"/>
  <c r="F66" i="6"/>
  <c r="E66" i="6"/>
  <c r="D66" i="6"/>
  <c r="C66" i="6"/>
  <c r="B66" i="6"/>
  <c r="AH65" i="6"/>
  <c r="AG65" i="6"/>
  <c r="F65" i="6"/>
  <c r="E65" i="6"/>
  <c r="D65" i="6"/>
  <c r="C65" i="6"/>
  <c r="B65" i="6"/>
  <c r="AH64" i="6"/>
  <c r="AG64" i="6"/>
  <c r="F64" i="6"/>
  <c r="E64" i="6"/>
  <c r="D64" i="6"/>
  <c r="C64" i="6"/>
  <c r="B64" i="6"/>
  <c r="AH63" i="6"/>
  <c r="AG63" i="6"/>
  <c r="F63" i="6"/>
  <c r="E63" i="6"/>
  <c r="D63" i="6"/>
  <c r="C63" i="6"/>
  <c r="B63" i="6"/>
  <c r="AH62" i="6"/>
  <c r="AG62" i="6"/>
  <c r="F62" i="6"/>
  <c r="E62" i="6"/>
  <c r="D62" i="6"/>
  <c r="C62" i="6"/>
  <c r="B62" i="6"/>
  <c r="AH61" i="6"/>
  <c r="AG61" i="6"/>
  <c r="F61" i="6"/>
  <c r="E61" i="6"/>
  <c r="D61" i="6"/>
  <c r="C61" i="6"/>
  <c r="B61" i="6"/>
  <c r="AH60" i="6"/>
  <c r="AG60" i="6"/>
  <c r="F60" i="6"/>
  <c r="E60" i="6"/>
  <c r="D60" i="6"/>
  <c r="C60" i="6"/>
  <c r="B60" i="6"/>
  <c r="AH59" i="6"/>
  <c r="AG59" i="6"/>
  <c r="F59" i="6"/>
  <c r="E59" i="6"/>
  <c r="D59" i="6"/>
  <c r="C59" i="6"/>
  <c r="B59" i="6"/>
  <c r="AH58" i="6"/>
  <c r="AG58" i="6"/>
  <c r="F58" i="6"/>
  <c r="E58" i="6"/>
  <c r="D58" i="6"/>
  <c r="C58" i="6"/>
  <c r="B58" i="6"/>
  <c r="AH57" i="6"/>
  <c r="AG57" i="6"/>
  <c r="F57" i="6"/>
  <c r="E57" i="6"/>
  <c r="D57" i="6"/>
  <c r="C57" i="6"/>
  <c r="B57" i="6"/>
  <c r="AH56" i="6"/>
  <c r="AG56" i="6"/>
  <c r="F56" i="6"/>
  <c r="E56" i="6"/>
  <c r="D56" i="6"/>
  <c r="C56" i="6"/>
  <c r="B56" i="6"/>
  <c r="Y51" i="6"/>
  <c r="X51" i="6"/>
  <c r="AH50" i="6"/>
  <c r="AG50" i="6"/>
  <c r="F50" i="6"/>
  <c r="E50" i="6"/>
  <c r="D50" i="6"/>
  <c r="C50" i="6"/>
  <c r="B50" i="6"/>
  <c r="AH49" i="6"/>
  <c r="AG49" i="6"/>
  <c r="F49" i="6"/>
  <c r="E49" i="6"/>
  <c r="D49" i="6"/>
  <c r="C49" i="6"/>
  <c r="B49" i="6"/>
  <c r="AH48" i="6"/>
  <c r="AG48" i="6"/>
  <c r="F48" i="6"/>
  <c r="E48" i="6"/>
  <c r="D48" i="6"/>
  <c r="C48" i="6"/>
  <c r="B48" i="6"/>
  <c r="AH47" i="6"/>
  <c r="AG47" i="6"/>
  <c r="F47" i="6"/>
  <c r="E47" i="6"/>
  <c r="D47" i="6"/>
  <c r="C47" i="6"/>
  <c r="B47" i="6"/>
  <c r="AH46" i="6"/>
  <c r="AG46" i="6"/>
  <c r="F46" i="6"/>
  <c r="E46" i="6"/>
  <c r="D46" i="6"/>
  <c r="C46" i="6"/>
  <c r="B46" i="6"/>
  <c r="AH45" i="6"/>
  <c r="AG45" i="6"/>
  <c r="F45" i="6"/>
  <c r="E45" i="6"/>
  <c r="D45" i="6"/>
  <c r="C45" i="6"/>
  <c r="B45" i="6"/>
  <c r="AH44" i="6"/>
  <c r="AG44" i="6"/>
  <c r="F44" i="6"/>
  <c r="E44" i="6"/>
  <c r="D44" i="6"/>
  <c r="C44" i="6"/>
  <c r="B44" i="6"/>
  <c r="AH43" i="6"/>
  <c r="AG43" i="6"/>
  <c r="F43" i="6"/>
  <c r="E43" i="6"/>
  <c r="D43" i="6"/>
  <c r="C43" i="6"/>
  <c r="B43" i="6"/>
  <c r="AH42" i="6"/>
  <c r="AG42" i="6"/>
  <c r="F42" i="6"/>
  <c r="E42" i="6"/>
  <c r="D42" i="6"/>
  <c r="C42" i="6"/>
  <c r="B42" i="6"/>
  <c r="AH41" i="6"/>
  <c r="AG41" i="6"/>
  <c r="F41" i="6"/>
  <c r="E41" i="6"/>
  <c r="D41" i="6"/>
  <c r="C41" i="6"/>
  <c r="B41" i="6"/>
  <c r="AH40" i="6"/>
  <c r="AG40" i="6"/>
  <c r="F40" i="6"/>
  <c r="E40" i="6"/>
  <c r="D40" i="6"/>
  <c r="C40" i="6"/>
  <c r="B40" i="6"/>
  <c r="AH39" i="6"/>
  <c r="AG39" i="6"/>
  <c r="F39" i="6"/>
  <c r="E39" i="6"/>
  <c r="D39" i="6"/>
  <c r="C39" i="6"/>
  <c r="B39" i="6"/>
  <c r="Y34" i="6"/>
  <c r="X34" i="6"/>
  <c r="AH33" i="6"/>
  <c r="AG33" i="6"/>
  <c r="F33" i="6"/>
  <c r="E33" i="6"/>
  <c r="D33" i="6"/>
  <c r="C33" i="6"/>
  <c r="B33" i="6"/>
  <c r="AH32" i="6"/>
  <c r="AG32" i="6"/>
  <c r="F32" i="6"/>
  <c r="E32" i="6"/>
  <c r="D32" i="6"/>
  <c r="C32" i="6"/>
  <c r="B32" i="6"/>
  <c r="AH31" i="6"/>
  <c r="AG31" i="6"/>
  <c r="F31" i="6"/>
  <c r="E31" i="6"/>
  <c r="D31" i="6"/>
  <c r="C31" i="6"/>
  <c r="B31" i="6"/>
  <c r="AH30" i="6"/>
  <c r="AG30" i="6"/>
  <c r="F30" i="6"/>
  <c r="E30" i="6"/>
  <c r="D30" i="6"/>
  <c r="C30" i="6"/>
  <c r="B30" i="6"/>
  <c r="AH29" i="6"/>
  <c r="AG29" i="6"/>
  <c r="F29" i="6"/>
  <c r="E29" i="6"/>
  <c r="D29" i="6"/>
  <c r="C29" i="6"/>
  <c r="B29" i="6"/>
  <c r="AH28" i="6"/>
  <c r="AG28" i="6"/>
  <c r="F28" i="6"/>
  <c r="E28" i="6"/>
  <c r="D28" i="6"/>
  <c r="C28" i="6"/>
  <c r="B28" i="6"/>
  <c r="AH27" i="6"/>
  <c r="AG27" i="6"/>
  <c r="F27" i="6"/>
  <c r="E27" i="6"/>
  <c r="D27" i="6"/>
  <c r="C27" i="6"/>
  <c r="B27" i="6"/>
  <c r="AH26" i="6"/>
  <c r="AG26" i="6"/>
  <c r="F26" i="6"/>
  <c r="E26" i="6"/>
  <c r="D26" i="6"/>
  <c r="C26" i="6"/>
  <c r="B26" i="6"/>
  <c r="AH25" i="6"/>
  <c r="AG25" i="6"/>
  <c r="F25" i="6"/>
  <c r="E25" i="6"/>
  <c r="D25" i="6"/>
  <c r="C25" i="6"/>
  <c r="B25" i="6"/>
  <c r="AH24" i="6"/>
  <c r="AG24" i="6"/>
  <c r="F24" i="6"/>
  <c r="E24" i="6"/>
  <c r="D24" i="6"/>
  <c r="C24" i="6"/>
  <c r="B24" i="6"/>
  <c r="AH23" i="6"/>
  <c r="AG23" i="6"/>
  <c r="F23" i="6"/>
  <c r="E23" i="6"/>
  <c r="D23" i="6"/>
  <c r="C23" i="6"/>
  <c r="B23" i="6"/>
  <c r="AH22" i="6"/>
  <c r="AG22" i="6"/>
  <c r="F22" i="6"/>
  <c r="E22" i="6"/>
  <c r="D22" i="6"/>
  <c r="C22" i="6"/>
  <c r="B22" i="6"/>
  <c r="B15" i="6"/>
  <c r="B13" i="6"/>
  <c r="F39" i="4"/>
  <c r="E39" i="4"/>
  <c r="D39" i="4"/>
  <c r="C39" i="4"/>
  <c r="B39" i="4"/>
  <c r="F38" i="4"/>
  <c r="E38" i="4"/>
  <c r="D38" i="4"/>
  <c r="C38" i="4"/>
  <c r="B38" i="4"/>
  <c r="F37" i="4"/>
  <c r="E37" i="4"/>
  <c r="D37" i="4"/>
  <c r="C37" i="4"/>
  <c r="B37" i="4"/>
  <c r="F36" i="4"/>
  <c r="E36" i="4"/>
  <c r="D36" i="4"/>
  <c r="C36" i="4"/>
  <c r="B36" i="4"/>
  <c r="F35" i="4"/>
  <c r="E35" i="4"/>
  <c r="D35" i="4"/>
  <c r="C35" i="4"/>
  <c r="B35" i="4"/>
  <c r="F34" i="4"/>
  <c r="E34" i="4"/>
  <c r="D34" i="4"/>
  <c r="C34" i="4"/>
  <c r="B34" i="4"/>
  <c r="F33" i="4"/>
  <c r="E33" i="4"/>
  <c r="D33" i="4"/>
  <c r="C33" i="4"/>
  <c r="B33" i="4"/>
  <c r="F32" i="4"/>
  <c r="E32" i="4"/>
  <c r="D32" i="4"/>
  <c r="C32" i="4"/>
  <c r="B32" i="4"/>
  <c r="F31" i="4"/>
  <c r="E31" i="4"/>
  <c r="D31" i="4"/>
  <c r="C31" i="4"/>
  <c r="B31" i="4"/>
  <c r="F30" i="4"/>
  <c r="E30" i="4"/>
  <c r="D30" i="4"/>
  <c r="C30" i="4"/>
  <c r="B30" i="4"/>
  <c r="F29" i="4"/>
  <c r="E29" i="4"/>
  <c r="D29" i="4"/>
  <c r="C29" i="4"/>
  <c r="B29" i="4"/>
  <c r="F28" i="4"/>
  <c r="E28" i="4"/>
  <c r="D28" i="4"/>
  <c r="I28" i="4" s="1"/>
  <c r="C28" i="4"/>
  <c r="B28" i="4"/>
  <c r="F21" i="4"/>
  <c r="E21" i="4"/>
  <c r="D21" i="4"/>
  <c r="C21" i="4"/>
  <c r="B21" i="4"/>
  <c r="F20" i="4"/>
  <c r="E20" i="4"/>
  <c r="D20" i="4"/>
  <c r="C20" i="4"/>
  <c r="B20" i="4"/>
  <c r="F19" i="4"/>
  <c r="E19" i="4"/>
  <c r="D19" i="4"/>
  <c r="C19" i="4"/>
  <c r="B19" i="4"/>
  <c r="F18" i="4"/>
  <c r="E18" i="4"/>
  <c r="D18" i="4"/>
  <c r="C18" i="4"/>
  <c r="B18" i="4"/>
  <c r="J17" i="4"/>
  <c r="I17" i="4"/>
  <c r="F17" i="4"/>
  <c r="E17" i="4"/>
  <c r="D17" i="4"/>
  <c r="C17" i="4"/>
  <c r="B17" i="4"/>
  <c r="F16" i="4"/>
  <c r="E16" i="4"/>
  <c r="D16" i="4"/>
  <c r="C16" i="4"/>
  <c r="B16" i="4"/>
  <c r="F15" i="4"/>
  <c r="E15" i="4"/>
  <c r="D15" i="4"/>
  <c r="C15" i="4"/>
  <c r="B15" i="4"/>
  <c r="F14" i="4"/>
  <c r="E14" i="4"/>
  <c r="D14" i="4"/>
  <c r="C14" i="4"/>
  <c r="B14" i="4"/>
  <c r="F13" i="4"/>
  <c r="E13" i="4"/>
  <c r="D13" i="4"/>
  <c r="C13" i="4"/>
  <c r="B13" i="4"/>
  <c r="F12" i="4"/>
  <c r="E12" i="4"/>
  <c r="D12" i="4"/>
  <c r="C12" i="4"/>
  <c r="B12" i="4"/>
  <c r="J12" i="4" s="1"/>
  <c r="F11" i="4"/>
  <c r="E11" i="4"/>
  <c r="D11" i="4"/>
  <c r="C11" i="4"/>
  <c r="B11" i="4"/>
  <c r="F10" i="4"/>
  <c r="E10" i="4"/>
  <c r="D10" i="4"/>
  <c r="C10" i="4"/>
  <c r="B10" i="4"/>
  <c r="H5" i="4"/>
  <c r="B48" i="3"/>
  <c r="B45" i="3"/>
  <c r="G32" i="3"/>
  <c r="F32" i="3"/>
  <c r="E32" i="3"/>
  <c r="G17" i="3"/>
  <c r="F17" i="3"/>
  <c r="E17" i="3"/>
  <c r="D33" i="1"/>
  <c r="C33" i="1"/>
  <c r="B33" i="1"/>
  <c r="D17" i="1"/>
  <c r="C17" i="1"/>
  <c r="B17" i="1"/>
  <c r="AL77" i="7" l="1"/>
  <c r="K10" i="13"/>
  <c r="L10" i="13" s="1"/>
  <c r="H64" i="7"/>
  <c r="K25" i="13"/>
  <c r="I17" i="3"/>
  <c r="J36" i="4"/>
  <c r="G33" i="7"/>
  <c r="L39" i="7"/>
  <c r="G75" i="7"/>
  <c r="L56" i="7"/>
  <c r="K45" i="13"/>
  <c r="L45" i="13" s="1"/>
  <c r="M45" i="13" s="1"/>
  <c r="K38" i="13"/>
  <c r="K13" i="13"/>
  <c r="K24" i="13"/>
  <c r="K40" i="13"/>
  <c r="I63" i="7"/>
  <c r="K48" i="13"/>
  <c r="L48" i="13" s="1"/>
  <c r="K8" i="13"/>
  <c r="H28" i="6"/>
  <c r="H61" i="7"/>
  <c r="C48" i="8" s="1"/>
  <c r="L79" i="7"/>
  <c r="K64" i="13"/>
  <c r="L64" i="13" s="1"/>
  <c r="J77" i="6"/>
  <c r="G44" i="7"/>
  <c r="I39" i="4"/>
  <c r="H17" i="4"/>
  <c r="G31" i="4"/>
  <c r="G74" i="6"/>
  <c r="I74" i="6"/>
  <c r="I50" i="6"/>
  <c r="L75" i="6"/>
  <c r="H32" i="7"/>
  <c r="L19" i="8" s="1"/>
  <c r="K74" i="6"/>
  <c r="I19" i="4"/>
  <c r="J30" i="6"/>
  <c r="K53" i="13"/>
  <c r="L53" i="13" s="1"/>
  <c r="K57" i="13"/>
  <c r="K82" i="6"/>
  <c r="AM45" i="7"/>
  <c r="K39" i="13"/>
  <c r="AL33" i="7"/>
  <c r="K11" i="13"/>
  <c r="J20" i="4"/>
  <c r="G33" i="4"/>
  <c r="J78" i="7"/>
  <c r="J84" i="7"/>
  <c r="E72" i="8" s="1"/>
  <c r="I29" i="4"/>
  <c r="H33" i="4"/>
  <c r="H36" i="4"/>
  <c r="L39" i="6"/>
  <c r="L59" i="6"/>
  <c r="H75" i="6"/>
  <c r="AM42" i="7"/>
  <c r="J47" i="6"/>
  <c r="H12" i="4"/>
  <c r="J32" i="4"/>
  <c r="J34" i="4"/>
  <c r="I36" i="4"/>
  <c r="H59" i="6"/>
  <c r="J67" i="7"/>
  <c r="E54" i="8" s="1"/>
  <c r="L78" i="7"/>
  <c r="K9" i="13"/>
  <c r="H40" i="6"/>
  <c r="K45" i="6"/>
  <c r="K50" i="6"/>
  <c r="K44" i="7"/>
  <c r="I12" i="4"/>
  <c r="K80" i="6"/>
  <c r="W80" i="6" s="1"/>
  <c r="B96" i="10" s="1"/>
  <c r="K84" i="6"/>
  <c r="W84" i="6" s="1"/>
  <c r="B100" i="10" s="1"/>
  <c r="K22" i="7"/>
  <c r="I23" i="7"/>
  <c r="L40" i="7"/>
  <c r="K50" i="7"/>
  <c r="I61" i="7"/>
  <c r="G30" i="4"/>
  <c r="I34" i="4"/>
  <c r="K24" i="6"/>
  <c r="W24" i="6" s="1"/>
  <c r="L28" i="6"/>
  <c r="L33" i="6"/>
  <c r="J48" i="6"/>
  <c r="L46" i="7"/>
  <c r="G64" i="7"/>
  <c r="I78" i="7"/>
  <c r="K56" i="13"/>
  <c r="J13" i="4"/>
  <c r="G15" i="4"/>
  <c r="G28" i="4"/>
  <c r="I30" i="4"/>
  <c r="I28" i="6"/>
  <c r="K31" i="6"/>
  <c r="W31" i="6" s="1"/>
  <c r="J50" i="6"/>
  <c r="K66" i="6"/>
  <c r="W66" i="6" s="1"/>
  <c r="B83" i="10" s="1"/>
  <c r="G81" i="6"/>
  <c r="G45" i="7"/>
  <c r="K31" i="8" s="1"/>
  <c r="I46" i="7"/>
  <c r="I64" i="7"/>
  <c r="D51" i="8" s="1"/>
  <c r="G25" i="6"/>
  <c r="J28" i="6"/>
  <c r="G32" i="7"/>
  <c r="I45" i="7"/>
  <c r="J46" i="7"/>
  <c r="J64" i="7"/>
  <c r="AL76" i="7"/>
  <c r="G83" i="7"/>
  <c r="B71" i="8" s="1"/>
  <c r="K28" i="13"/>
  <c r="K79" i="6"/>
  <c r="K46" i="7"/>
  <c r="AM82" i="7"/>
  <c r="H20" i="4"/>
  <c r="L47" i="6"/>
  <c r="K63" i="6"/>
  <c r="L65" i="6"/>
  <c r="AM26" i="7"/>
  <c r="I32" i="7"/>
  <c r="B19" i="8" s="1"/>
  <c r="G50" i="7"/>
  <c r="K36" i="8" s="1"/>
  <c r="L64" i="7"/>
  <c r="H75" i="7"/>
  <c r="K64" i="7"/>
  <c r="G16" i="4"/>
  <c r="J18" i="4"/>
  <c r="I20" i="4"/>
  <c r="J38" i="4"/>
  <c r="J22" i="6"/>
  <c r="J45" i="6"/>
  <c r="H25" i="7"/>
  <c r="L12" i="8" s="1"/>
  <c r="H31" i="7"/>
  <c r="L18" i="8" s="1"/>
  <c r="AM50" i="7"/>
  <c r="I56" i="7"/>
  <c r="D43" i="8" s="1"/>
  <c r="J61" i="7"/>
  <c r="AL67" i="7"/>
  <c r="J74" i="7"/>
  <c r="I75" i="7"/>
  <c r="K62" i="13"/>
  <c r="M64" i="13"/>
  <c r="AX64" i="13"/>
  <c r="I32" i="3"/>
  <c r="H20" i="3" s="1"/>
  <c r="K28" i="7"/>
  <c r="D15" i="8" s="1"/>
  <c r="AL31" i="7"/>
  <c r="AL63" i="7"/>
  <c r="I37" i="4"/>
  <c r="J26" i="6"/>
  <c r="K32" i="6"/>
  <c r="J40" i="6"/>
  <c r="G45" i="6"/>
  <c r="I62" i="6"/>
  <c r="I77" i="6"/>
  <c r="H45" i="7"/>
  <c r="J50" i="7"/>
  <c r="C36" i="8" s="1"/>
  <c r="G84" i="7"/>
  <c r="B72" i="8" s="1"/>
  <c r="K33" i="13"/>
  <c r="H25" i="6"/>
  <c r="G39" i="6"/>
  <c r="H76" i="6"/>
  <c r="I25" i="7"/>
  <c r="H67" i="7"/>
  <c r="C54" i="8" s="1"/>
  <c r="AM81" i="7"/>
  <c r="L45" i="6"/>
  <c r="F34" i="7"/>
  <c r="AM31" i="7"/>
  <c r="H33" i="7"/>
  <c r="W45" i="6"/>
  <c r="Z45" i="6" s="1"/>
  <c r="K32" i="7"/>
  <c r="D19" i="8" s="1"/>
  <c r="G46" i="7"/>
  <c r="K32" i="8" s="1"/>
  <c r="L42" i="6"/>
  <c r="H57" i="6"/>
  <c r="G79" i="6"/>
  <c r="AL25" i="7"/>
  <c r="G26" i="7"/>
  <c r="K84" i="7"/>
  <c r="K12" i="13"/>
  <c r="K46" i="13"/>
  <c r="H65" i="6"/>
  <c r="H83" i="7"/>
  <c r="K34" i="13"/>
  <c r="L34" i="13" s="1"/>
  <c r="M34" i="13" s="1"/>
  <c r="K44" i="13"/>
  <c r="L44" i="13" s="1"/>
  <c r="M44" i="13" s="1"/>
  <c r="H14" i="4"/>
  <c r="H33" i="6"/>
  <c r="I66" i="7"/>
  <c r="J80" i="7"/>
  <c r="G10" i="4"/>
  <c r="G20" i="4"/>
  <c r="Q20" i="4" s="1"/>
  <c r="I38" i="4"/>
  <c r="J27" i="6"/>
  <c r="H61" i="6"/>
  <c r="L23" i="7"/>
  <c r="I40" i="7"/>
  <c r="B26" i="8" s="1"/>
  <c r="AL60" i="7"/>
  <c r="E85" i="7"/>
  <c r="I79" i="7"/>
  <c r="D67" i="8" s="1"/>
  <c r="K27" i="13"/>
  <c r="L27" i="13" s="1"/>
  <c r="K31" i="13"/>
  <c r="K61" i="13"/>
  <c r="J60" i="6"/>
  <c r="H47" i="6"/>
  <c r="K26" i="13"/>
  <c r="K30" i="13"/>
  <c r="L50" i="6"/>
  <c r="J67" i="6"/>
  <c r="H79" i="6"/>
  <c r="H26" i="7"/>
  <c r="L13" i="8" s="1"/>
  <c r="I31" i="7"/>
  <c r="H74" i="7"/>
  <c r="G12" i="4"/>
  <c r="G17" i="4"/>
  <c r="R17" i="4" s="1"/>
  <c r="G34" i="4"/>
  <c r="G36" i="4"/>
  <c r="R36" i="4" s="1"/>
  <c r="J41" i="6"/>
  <c r="G46" i="6"/>
  <c r="G47" i="6"/>
  <c r="H74" i="6"/>
  <c r="K61" i="7"/>
  <c r="F48" i="8" s="1"/>
  <c r="I65" i="7"/>
  <c r="D52" i="8" s="1"/>
  <c r="K74" i="7"/>
  <c r="AM25" i="7"/>
  <c r="J27" i="7"/>
  <c r="AL42" i="7"/>
  <c r="J44" i="7"/>
  <c r="C30" i="8" s="1"/>
  <c r="AL49" i="7"/>
  <c r="AL81" i="7"/>
  <c r="K19" i="13"/>
  <c r="L19" i="13" s="1"/>
  <c r="J23" i="6"/>
  <c r="H48" i="6"/>
  <c r="J26" i="7"/>
  <c r="C13" i="8" s="1"/>
  <c r="H84" i="7"/>
  <c r="C72" i="8" s="1"/>
  <c r="H30" i="4"/>
  <c r="C34" i="7"/>
  <c r="AM61" i="7"/>
  <c r="AM67" i="7"/>
  <c r="I18" i="4"/>
  <c r="K48" i="6"/>
  <c r="J45" i="7"/>
  <c r="C31" i="8" s="1"/>
  <c r="J19" i="4"/>
  <c r="J28" i="4"/>
  <c r="J30" i="4"/>
  <c r="H50" i="6"/>
  <c r="H56" i="6"/>
  <c r="AL28" i="7"/>
  <c r="I29" i="7"/>
  <c r="B16" i="8" s="1"/>
  <c r="AL59" i="7"/>
  <c r="G74" i="7"/>
  <c r="AM83" i="7"/>
  <c r="K32" i="13"/>
  <c r="L32" i="13" s="1"/>
  <c r="AX32" i="13" s="1"/>
  <c r="G29" i="6"/>
  <c r="B34" i="7"/>
  <c r="I44" i="6"/>
  <c r="I84" i="7"/>
  <c r="D72" i="8" s="1"/>
  <c r="G18" i="4"/>
  <c r="G11" i="4"/>
  <c r="H19" i="4"/>
  <c r="J21" i="4"/>
  <c r="J29" i="4"/>
  <c r="J35" i="4"/>
  <c r="J39" i="4"/>
  <c r="L26" i="6"/>
  <c r="K47" i="6"/>
  <c r="J58" i="6"/>
  <c r="AM48" i="7"/>
  <c r="AM59" i="7"/>
  <c r="K78" i="7"/>
  <c r="AL82" i="7"/>
  <c r="K58" i="13"/>
  <c r="H13" i="4"/>
  <c r="K59" i="13"/>
  <c r="C22" i="4"/>
  <c r="H29" i="4"/>
  <c r="H35" i="4"/>
  <c r="H39" i="4"/>
  <c r="I45" i="6"/>
  <c r="AA45" i="6" s="1"/>
  <c r="F85" i="6"/>
  <c r="I83" i="6"/>
  <c r="AL32" i="7"/>
  <c r="AL66" i="7"/>
  <c r="AL80" i="7"/>
  <c r="I83" i="7"/>
  <c r="D71" i="8" s="1"/>
  <c r="F61" i="10"/>
  <c r="W63" i="6"/>
  <c r="B80" i="10" s="1"/>
  <c r="H6" i="3"/>
  <c r="H5" i="3"/>
  <c r="H15" i="3"/>
  <c r="H14" i="3"/>
  <c r="H16" i="3"/>
  <c r="H7" i="3"/>
  <c r="H13" i="3"/>
  <c r="H12" i="3"/>
  <c r="H11" i="3"/>
  <c r="H9" i="3"/>
  <c r="H8" i="3"/>
  <c r="H10" i="3"/>
  <c r="J24" i="6"/>
  <c r="I42" i="6"/>
  <c r="H21" i="4"/>
  <c r="J29" i="6"/>
  <c r="I56" i="6"/>
  <c r="I67" i="6"/>
  <c r="H83" i="6"/>
  <c r="K83" i="6"/>
  <c r="L83" i="6"/>
  <c r="AM30" i="7"/>
  <c r="K41" i="7"/>
  <c r="I24" i="6"/>
  <c r="G24" i="6"/>
  <c r="C68" i="6"/>
  <c r="H10" i="4"/>
  <c r="H15" i="4"/>
  <c r="I21" i="4"/>
  <c r="E51" i="8"/>
  <c r="AA64" i="7"/>
  <c r="W74" i="6"/>
  <c r="B90" i="10" s="1"/>
  <c r="I22" i="6"/>
  <c r="D34" i="6"/>
  <c r="H24" i="6"/>
  <c r="K26" i="6"/>
  <c r="G49" i="6"/>
  <c r="H49" i="6"/>
  <c r="K29" i="6"/>
  <c r="H30" i="6"/>
  <c r="G30" i="6"/>
  <c r="L30" i="6"/>
  <c r="L56" i="6"/>
  <c r="G61" i="6"/>
  <c r="L63" i="6"/>
  <c r="G63" i="6"/>
  <c r="G76" i="6"/>
  <c r="J59" i="7"/>
  <c r="I59" i="7"/>
  <c r="I10" i="4"/>
  <c r="G13" i="4"/>
  <c r="J14" i="4"/>
  <c r="I15" i="4"/>
  <c r="H18" i="4"/>
  <c r="G29" i="4"/>
  <c r="I31" i="4"/>
  <c r="H34" i="4"/>
  <c r="I35" i="4"/>
  <c r="H38" i="4"/>
  <c r="G39" i="4"/>
  <c r="K22" i="6"/>
  <c r="G23" i="6"/>
  <c r="L23" i="6"/>
  <c r="L24" i="6"/>
  <c r="I30" i="6"/>
  <c r="F34" i="6"/>
  <c r="I40" i="6"/>
  <c r="L40" i="6"/>
  <c r="H42" i="6"/>
  <c r="I49" i="6"/>
  <c r="K57" i="6"/>
  <c r="G58" i="6"/>
  <c r="K62" i="6"/>
  <c r="L64" i="6"/>
  <c r="J64" i="6"/>
  <c r="G64" i="6"/>
  <c r="L73" i="6"/>
  <c r="G73" i="6"/>
  <c r="B85" i="6"/>
  <c r="I73" i="6"/>
  <c r="K73" i="6"/>
  <c r="G80" i="6"/>
  <c r="I80" i="6"/>
  <c r="L80" i="6"/>
  <c r="J83" i="6"/>
  <c r="B12" i="8"/>
  <c r="K20" i="8"/>
  <c r="H49" i="7"/>
  <c r="G49" i="7"/>
  <c r="I49" i="7"/>
  <c r="L49" i="7"/>
  <c r="I58" i="7"/>
  <c r="L58" i="7"/>
  <c r="G58" i="7"/>
  <c r="W32" i="6"/>
  <c r="H39" i="6"/>
  <c r="C51" i="6"/>
  <c r="K41" i="6"/>
  <c r="E51" i="6"/>
  <c r="K60" i="6"/>
  <c r="D40" i="4"/>
  <c r="C34" i="6"/>
  <c r="H29" i="6"/>
  <c r="L29" i="6"/>
  <c r="L32" i="6"/>
  <c r="I41" i="6"/>
  <c r="L43" i="6"/>
  <c r="G43" i="6"/>
  <c r="H31" i="4"/>
  <c r="R31" i="4" s="1"/>
  <c r="G38" i="4"/>
  <c r="E34" i="6"/>
  <c r="I33" i="6"/>
  <c r="B34" i="6"/>
  <c r="F51" i="6"/>
  <c r="H43" i="6"/>
  <c r="H46" i="6"/>
  <c r="I48" i="6"/>
  <c r="H23" i="6"/>
  <c r="G27" i="6"/>
  <c r="I29" i="6"/>
  <c r="L31" i="6"/>
  <c r="I31" i="6"/>
  <c r="AA31" i="6" s="1"/>
  <c r="H31" i="6"/>
  <c r="J39" i="6"/>
  <c r="J43" i="6"/>
  <c r="G44" i="6"/>
  <c r="L44" i="6"/>
  <c r="I47" i="6"/>
  <c r="G57" i="6"/>
  <c r="G62" i="6"/>
  <c r="I63" i="6"/>
  <c r="H64" i="6"/>
  <c r="C85" i="6"/>
  <c r="L77" i="6"/>
  <c r="J80" i="6"/>
  <c r="J25" i="7"/>
  <c r="L30" i="7"/>
  <c r="G30" i="7"/>
  <c r="K30" i="7"/>
  <c r="AL45" i="7"/>
  <c r="AL43" i="7"/>
  <c r="C68" i="7"/>
  <c r="H57" i="7"/>
  <c r="J58" i="7"/>
  <c r="H60" i="7"/>
  <c r="G60" i="7"/>
  <c r="L60" i="7"/>
  <c r="I60" i="7"/>
  <c r="K60" i="7"/>
  <c r="J60" i="7"/>
  <c r="B40" i="4"/>
  <c r="I26" i="6"/>
  <c r="J61" i="6"/>
  <c r="I66" i="6"/>
  <c r="J76" i="6"/>
  <c r="H78" i="6"/>
  <c r="K78" i="6"/>
  <c r="J78" i="6"/>
  <c r="I78" i="6"/>
  <c r="I24" i="7"/>
  <c r="G24" i="7"/>
  <c r="AL30" i="7"/>
  <c r="AL29" i="7"/>
  <c r="J41" i="7"/>
  <c r="I41" i="7"/>
  <c r="H41" i="7"/>
  <c r="G41" i="7"/>
  <c r="E51" i="7"/>
  <c r="H16" i="4"/>
  <c r="J10" i="4"/>
  <c r="J15" i="4"/>
  <c r="H22" i="6"/>
  <c r="B106" i="10"/>
  <c r="F28" i="10"/>
  <c r="I13" i="4"/>
  <c r="I14" i="4"/>
  <c r="G21" i="4"/>
  <c r="D22" i="4"/>
  <c r="J33" i="4"/>
  <c r="K25" i="6"/>
  <c r="H27" i="6"/>
  <c r="K30" i="6"/>
  <c r="K39" i="6"/>
  <c r="K43" i="6"/>
  <c r="K46" i="6"/>
  <c r="I57" i="6"/>
  <c r="I59" i="6"/>
  <c r="K59" i="6"/>
  <c r="J59" i="6"/>
  <c r="G59" i="6"/>
  <c r="H62" i="6"/>
  <c r="J63" i="6"/>
  <c r="I64" i="6"/>
  <c r="H81" i="6"/>
  <c r="K81" i="6"/>
  <c r="J81" i="6"/>
  <c r="K25" i="7"/>
  <c r="H27" i="7"/>
  <c r="H48" i="7"/>
  <c r="L48" i="7"/>
  <c r="K48" i="7"/>
  <c r="J48" i="7"/>
  <c r="G48" i="7"/>
  <c r="G42" i="6"/>
  <c r="K42" i="6"/>
  <c r="J42" i="6"/>
  <c r="I61" i="6"/>
  <c r="B10" i="8"/>
  <c r="G32" i="4"/>
  <c r="G35" i="4"/>
  <c r="I43" i="6"/>
  <c r="W82" i="6"/>
  <c r="B98" i="10" s="1"/>
  <c r="I27" i="7"/>
  <c r="H29" i="7"/>
  <c r="K29" i="7"/>
  <c r="G29" i="7"/>
  <c r="B51" i="7"/>
  <c r="K39" i="7"/>
  <c r="G39" i="7"/>
  <c r="J39" i="7"/>
  <c r="AM64" i="7"/>
  <c r="AM63" i="7"/>
  <c r="AM62" i="7"/>
  <c r="L24" i="13"/>
  <c r="C106" i="10"/>
  <c r="G28" i="10"/>
  <c r="I16" i="4"/>
  <c r="G26" i="6"/>
  <c r="I27" i="6"/>
  <c r="H32" i="4"/>
  <c r="I33" i="4"/>
  <c r="L25" i="6"/>
  <c r="H26" i="6"/>
  <c r="J31" i="6"/>
  <c r="G32" i="6"/>
  <c r="K40" i="6"/>
  <c r="W48" i="6"/>
  <c r="K49" i="6"/>
  <c r="W79" i="6"/>
  <c r="B95" i="10" s="1"/>
  <c r="E34" i="7"/>
  <c r="J22" i="7"/>
  <c r="C14" i="8"/>
  <c r="B18" i="8"/>
  <c r="AL46" i="7"/>
  <c r="AL47" i="7"/>
  <c r="H11" i="4"/>
  <c r="B22" i="4"/>
  <c r="J11" i="4"/>
  <c r="G14" i="4"/>
  <c r="H28" i="4"/>
  <c r="C40" i="4"/>
  <c r="J31" i="4"/>
  <c r="I32" i="4"/>
  <c r="I23" i="6"/>
  <c r="H32" i="6"/>
  <c r="G40" i="6"/>
  <c r="K44" i="6"/>
  <c r="AB45" i="6"/>
  <c r="L49" i="6"/>
  <c r="K58" i="6"/>
  <c r="K64" i="6"/>
  <c r="G65" i="6"/>
  <c r="K65" i="6"/>
  <c r="J65" i="6"/>
  <c r="I65" i="6"/>
  <c r="H73" i="6"/>
  <c r="K27" i="7"/>
  <c r="H42" i="7"/>
  <c r="L42" i="7"/>
  <c r="J42" i="7"/>
  <c r="K42" i="7"/>
  <c r="G42" i="7"/>
  <c r="F68" i="6"/>
  <c r="K56" i="6"/>
  <c r="I60" i="6"/>
  <c r="G60" i="6"/>
  <c r="D9" i="8"/>
  <c r="L22" i="6"/>
  <c r="G22" i="6"/>
  <c r="G56" i="6"/>
  <c r="G66" i="6"/>
  <c r="G41" i="6"/>
  <c r="D50" i="8"/>
  <c r="Q12" i="4"/>
  <c r="R33" i="4"/>
  <c r="L46" i="6"/>
  <c r="J49" i="6"/>
  <c r="J57" i="6"/>
  <c r="E85" i="6"/>
  <c r="J73" i="6"/>
  <c r="I11" i="4"/>
  <c r="J16" i="4"/>
  <c r="G19" i="4"/>
  <c r="G37" i="4"/>
  <c r="J37" i="4"/>
  <c r="H37" i="4"/>
  <c r="K23" i="6"/>
  <c r="G31" i="6"/>
  <c r="I32" i="6"/>
  <c r="K33" i="6"/>
  <c r="J33" i="6"/>
  <c r="G33" i="6"/>
  <c r="H41" i="6"/>
  <c r="D51" i="6"/>
  <c r="L41" i="6"/>
  <c r="J44" i="6"/>
  <c r="L48" i="6"/>
  <c r="G48" i="6"/>
  <c r="L58" i="6"/>
  <c r="L61" i="6"/>
  <c r="K61" i="6"/>
  <c r="H66" i="6"/>
  <c r="J66" i="6"/>
  <c r="B68" i="6"/>
  <c r="L76" i="6"/>
  <c r="I76" i="6"/>
  <c r="J84" i="6"/>
  <c r="G84" i="6"/>
  <c r="L84" i="6"/>
  <c r="I84" i="6"/>
  <c r="H22" i="7"/>
  <c r="G47" i="7"/>
  <c r="L47" i="7"/>
  <c r="K47" i="7"/>
  <c r="J47" i="7"/>
  <c r="I47" i="7"/>
  <c r="H47" i="7"/>
  <c r="K13" i="8"/>
  <c r="I30" i="7"/>
  <c r="L20" i="8"/>
  <c r="I25" i="6"/>
  <c r="B51" i="6"/>
  <c r="J30" i="7"/>
  <c r="B31" i="8"/>
  <c r="J25" i="6"/>
  <c r="L27" i="6"/>
  <c r="I46" i="6"/>
  <c r="H58" i="6"/>
  <c r="H67" i="6"/>
  <c r="G75" i="6"/>
  <c r="K75" i="6"/>
  <c r="I28" i="7"/>
  <c r="H28" i="7"/>
  <c r="H40" i="7"/>
  <c r="G40" i="7"/>
  <c r="J63" i="7"/>
  <c r="G63" i="7"/>
  <c r="L63" i="7"/>
  <c r="I82" i="7"/>
  <c r="G82" i="7"/>
  <c r="G28" i="6"/>
  <c r="J46" i="6"/>
  <c r="J56" i="6"/>
  <c r="L57" i="6"/>
  <c r="I58" i="6"/>
  <c r="L62" i="6"/>
  <c r="J74" i="6"/>
  <c r="AB74" i="6" s="1"/>
  <c r="D85" i="6"/>
  <c r="L79" i="6"/>
  <c r="I79" i="6"/>
  <c r="J79" i="6"/>
  <c r="J82" i="6"/>
  <c r="D34" i="7"/>
  <c r="I22" i="7"/>
  <c r="G23" i="7"/>
  <c r="D36" i="8"/>
  <c r="J82" i="7"/>
  <c r="K82" i="7"/>
  <c r="I39" i="6"/>
  <c r="H45" i="6"/>
  <c r="L66" i="6"/>
  <c r="I75" i="6"/>
  <c r="K77" i="6"/>
  <c r="L81" i="6"/>
  <c r="I81" i="6"/>
  <c r="G82" i="6"/>
  <c r="J23" i="7"/>
  <c r="AL26" i="7"/>
  <c r="G28" i="7"/>
  <c r="J31" i="7"/>
  <c r="I33" i="7"/>
  <c r="L32" i="8"/>
  <c r="K27" i="6"/>
  <c r="G50" i="6"/>
  <c r="E68" i="6"/>
  <c r="J62" i="6"/>
  <c r="G67" i="6"/>
  <c r="J75" i="6"/>
  <c r="G77" i="6"/>
  <c r="H82" i="6"/>
  <c r="G22" i="7"/>
  <c r="G25" i="7"/>
  <c r="K26" i="7"/>
  <c r="L27" i="7"/>
  <c r="G27" i="7"/>
  <c r="J28" i="7"/>
  <c r="K43" i="7"/>
  <c r="L43" i="7"/>
  <c r="K63" i="7"/>
  <c r="K28" i="6"/>
  <c r="J32" i="6"/>
  <c r="H44" i="6"/>
  <c r="H60" i="6"/>
  <c r="L74" i="6"/>
  <c r="K76" i="6"/>
  <c r="H84" i="6"/>
  <c r="K23" i="7"/>
  <c r="K19" i="8"/>
  <c r="K33" i="7"/>
  <c r="H39" i="7"/>
  <c r="C51" i="7"/>
  <c r="K59" i="7"/>
  <c r="AM66" i="7"/>
  <c r="AM65" i="7"/>
  <c r="J32" i="7"/>
  <c r="K40" i="7"/>
  <c r="F51" i="7"/>
  <c r="AM47" i="7"/>
  <c r="AM46" i="7"/>
  <c r="H63" i="7"/>
  <c r="B63" i="8"/>
  <c r="L67" i="6"/>
  <c r="L78" i="6"/>
  <c r="G78" i="6"/>
  <c r="G83" i="6"/>
  <c r="L24" i="7"/>
  <c r="AM43" i="7"/>
  <c r="AM44" i="7"/>
  <c r="H43" i="7"/>
  <c r="G43" i="7"/>
  <c r="I43" i="7"/>
  <c r="K30" i="8"/>
  <c r="H66" i="7"/>
  <c r="D30" i="8"/>
  <c r="D53" i="8"/>
  <c r="D63" i="8"/>
  <c r="G77" i="7"/>
  <c r="K77" i="7"/>
  <c r="J77" i="7"/>
  <c r="H77" i="7"/>
  <c r="L77" i="7"/>
  <c r="I77" i="7"/>
  <c r="T64" i="13"/>
  <c r="R64" i="13"/>
  <c r="AK64" i="13"/>
  <c r="V64" i="13"/>
  <c r="N64" i="13"/>
  <c r="O64" i="13" s="1"/>
  <c r="H63" i="6"/>
  <c r="K67" i="6"/>
  <c r="H77" i="6"/>
  <c r="AL27" i="7"/>
  <c r="AM28" i="7"/>
  <c r="I42" i="7"/>
  <c r="L31" i="8"/>
  <c r="AL48" i="7"/>
  <c r="B32" i="8"/>
  <c r="I48" i="7"/>
  <c r="D68" i="7"/>
  <c r="H56" i="7"/>
  <c r="G56" i="7"/>
  <c r="K58" i="7"/>
  <c r="L62" i="7"/>
  <c r="K62" i="7"/>
  <c r="I62" i="7"/>
  <c r="H62" i="7"/>
  <c r="J62" i="7"/>
  <c r="G62" i="7"/>
  <c r="L66" i="7"/>
  <c r="I82" i="6"/>
  <c r="L22" i="7"/>
  <c r="H23" i="7"/>
  <c r="K24" i="7"/>
  <c r="L28" i="7"/>
  <c r="L31" i="7"/>
  <c r="G31" i="7"/>
  <c r="AL62" i="7"/>
  <c r="B51" i="8"/>
  <c r="H24" i="7"/>
  <c r="L29" i="7"/>
  <c r="J29" i="7"/>
  <c r="D32" i="8"/>
  <c r="H59" i="7"/>
  <c r="G59" i="7"/>
  <c r="D48" i="8"/>
  <c r="C51" i="8"/>
  <c r="C62" i="8"/>
  <c r="I57" i="7"/>
  <c r="L57" i="7"/>
  <c r="K57" i="7"/>
  <c r="J57" i="7"/>
  <c r="G57" i="7"/>
  <c r="E48" i="8"/>
  <c r="D85" i="7"/>
  <c r="I73" i="7"/>
  <c r="L73" i="7"/>
  <c r="K73" i="7"/>
  <c r="J73" i="7"/>
  <c r="G73" i="7"/>
  <c r="E68" i="8"/>
  <c r="D68" i="6"/>
  <c r="L60" i="6"/>
  <c r="J24" i="7"/>
  <c r="K31" i="7"/>
  <c r="J33" i="7"/>
  <c r="D51" i="7"/>
  <c r="I39" i="7"/>
  <c r="L44" i="7"/>
  <c r="L45" i="7"/>
  <c r="AM49" i="7"/>
  <c r="L50" i="7"/>
  <c r="J56" i="7"/>
  <c r="F51" i="8"/>
  <c r="E68" i="7"/>
  <c r="AL78" i="7"/>
  <c r="H80" i="6"/>
  <c r="L26" i="7"/>
  <c r="AM32" i="7"/>
  <c r="J43" i="7"/>
  <c r="I44" i="7"/>
  <c r="AA44" i="7" s="1"/>
  <c r="J49" i="7"/>
  <c r="I50" i="7"/>
  <c r="K56" i="7"/>
  <c r="F68" i="7"/>
  <c r="B54" i="8"/>
  <c r="F62" i="8"/>
  <c r="AM78" i="7"/>
  <c r="AM76" i="7"/>
  <c r="AM77" i="7"/>
  <c r="D66" i="8"/>
  <c r="F85" i="7"/>
  <c r="L9" i="13"/>
  <c r="AL50" i="7"/>
  <c r="K49" i="7"/>
  <c r="AL61" i="7"/>
  <c r="L61" i="7"/>
  <c r="AL65" i="7"/>
  <c r="AL64" i="7"/>
  <c r="G65" i="7"/>
  <c r="L65" i="7"/>
  <c r="K65" i="7"/>
  <c r="B62" i="8"/>
  <c r="E66" i="8"/>
  <c r="L15" i="13"/>
  <c r="AM27" i="7"/>
  <c r="I26" i="7"/>
  <c r="AL44" i="7"/>
  <c r="K45" i="7"/>
  <c r="H65" i="7"/>
  <c r="E62" i="8"/>
  <c r="F66" i="8"/>
  <c r="AA78" i="7"/>
  <c r="AB78" i="7"/>
  <c r="K80" i="7"/>
  <c r="G80" i="7"/>
  <c r="L80" i="7"/>
  <c r="H80" i="7"/>
  <c r="L82" i="6"/>
  <c r="L25" i="7"/>
  <c r="AM29" i="7"/>
  <c r="H30" i="7"/>
  <c r="L33" i="7"/>
  <c r="J40" i="7"/>
  <c r="H44" i="7"/>
  <c r="H50" i="7"/>
  <c r="G61" i="7"/>
  <c r="J65" i="7"/>
  <c r="C63" i="8"/>
  <c r="K76" i="7"/>
  <c r="J76" i="7"/>
  <c r="I76" i="7"/>
  <c r="L76" i="7"/>
  <c r="H76" i="7"/>
  <c r="G76" i="7"/>
  <c r="AM80" i="7"/>
  <c r="AM79" i="7"/>
  <c r="I80" i="7"/>
  <c r="L81" i="7"/>
  <c r="G81" i="7"/>
  <c r="AM33" i="7"/>
  <c r="L32" i="7"/>
  <c r="AL79" i="7"/>
  <c r="H81" i="7"/>
  <c r="C71" i="8"/>
  <c r="L41" i="7"/>
  <c r="AM60" i="7"/>
  <c r="L67" i="7"/>
  <c r="I81" i="7"/>
  <c r="G79" i="7"/>
  <c r="J81" i="7"/>
  <c r="L11" i="13"/>
  <c r="J75" i="7"/>
  <c r="J79" i="7"/>
  <c r="K81" i="7"/>
  <c r="B68" i="7"/>
  <c r="H58" i="7"/>
  <c r="G66" i="7"/>
  <c r="L74" i="7"/>
  <c r="K75" i="7"/>
  <c r="K79" i="7"/>
  <c r="B50" i="10"/>
  <c r="L59" i="7"/>
  <c r="J66" i="7"/>
  <c r="I67" i="7"/>
  <c r="L84" i="7"/>
  <c r="K66" i="7"/>
  <c r="B85" i="7"/>
  <c r="G78" i="7"/>
  <c r="AL84" i="7"/>
  <c r="L83" i="7"/>
  <c r="K67" i="7"/>
  <c r="C85" i="7"/>
  <c r="H73" i="7"/>
  <c r="H78" i="7"/>
  <c r="L75" i="7"/>
  <c r="L82" i="7"/>
  <c r="J83" i="7"/>
  <c r="I74" i="7"/>
  <c r="AA74" i="7" s="1"/>
  <c r="H79" i="7"/>
  <c r="H82" i="7"/>
  <c r="K83" i="7"/>
  <c r="F72" i="8"/>
  <c r="AL83" i="7"/>
  <c r="AM84" i="7"/>
  <c r="L16" i="13"/>
  <c r="AX27" i="13"/>
  <c r="M27" i="13"/>
  <c r="L12" i="13"/>
  <c r="L30" i="13"/>
  <c r="K14" i="13"/>
  <c r="L33" i="13"/>
  <c r="L39" i="13"/>
  <c r="K23" i="13"/>
  <c r="L28" i="13"/>
  <c r="L13" i="13"/>
  <c r="L26" i="13"/>
  <c r="L56" i="13"/>
  <c r="B67" i="10"/>
  <c r="L62" i="13"/>
  <c r="L8" i="13"/>
  <c r="AX10" i="13"/>
  <c r="M10" i="13"/>
  <c r="L31" i="13"/>
  <c r="K17" i="13"/>
  <c r="L58" i="13"/>
  <c r="M47" i="13"/>
  <c r="AX47" i="13"/>
  <c r="M53" i="13"/>
  <c r="AX53" i="13"/>
  <c r="L25" i="13"/>
  <c r="M18" i="13"/>
  <c r="AX18" i="13"/>
  <c r="K29" i="13"/>
  <c r="L40" i="13"/>
  <c r="M32" i="13"/>
  <c r="K49" i="13"/>
  <c r="L57" i="13"/>
  <c r="L61" i="13"/>
  <c r="L41" i="13"/>
  <c r="M48" i="13"/>
  <c r="AX48" i="13"/>
  <c r="AX54" i="13"/>
  <c r="M54" i="13"/>
  <c r="L46" i="13"/>
  <c r="K60" i="13"/>
  <c r="K42" i="13"/>
  <c r="K55" i="13"/>
  <c r="K43" i="13"/>
  <c r="K63" i="13"/>
  <c r="L38" i="13"/>
  <c r="L59" i="13"/>
  <c r="AK45" i="13" l="1"/>
  <c r="R45" i="13"/>
  <c r="N45" i="13"/>
  <c r="O45" i="13" s="1"/>
  <c r="V45" i="13"/>
  <c r="T45" i="13"/>
  <c r="AB64" i="7"/>
  <c r="AA47" i="6"/>
  <c r="Q13" i="4"/>
  <c r="AX45" i="13"/>
  <c r="AX44" i="13"/>
  <c r="AA84" i="7"/>
  <c r="AA61" i="7"/>
  <c r="AX34" i="13"/>
  <c r="AB61" i="7"/>
  <c r="H29" i="3"/>
  <c r="R12" i="4"/>
  <c r="AB84" i="7"/>
  <c r="AA46" i="7"/>
  <c r="AA50" i="6"/>
  <c r="AB28" i="7"/>
  <c r="I44" i="10" s="1"/>
  <c r="AB80" i="6"/>
  <c r="Q11" i="4"/>
  <c r="AB31" i="6"/>
  <c r="Q47" i="6"/>
  <c r="R28" i="4"/>
  <c r="Q30" i="4"/>
  <c r="Q18" i="4"/>
  <c r="H22" i="3"/>
  <c r="S30" i="4" s="1"/>
  <c r="AB46" i="7"/>
  <c r="I62" i="10" s="1"/>
  <c r="AA66" i="6"/>
  <c r="W47" i="6"/>
  <c r="N33" i="6"/>
  <c r="H23" i="3"/>
  <c r="P45" i="7"/>
  <c r="H31" i="3"/>
  <c r="R18" i="4"/>
  <c r="H24" i="3"/>
  <c r="P78" i="7"/>
  <c r="M84" i="7"/>
  <c r="N61" i="7"/>
  <c r="N63" i="6"/>
  <c r="M31" i="6"/>
  <c r="Q16" i="4"/>
  <c r="Q17" i="4"/>
  <c r="H26" i="3"/>
  <c r="P46" i="6"/>
  <c r="W50" i="6"/>
  <c r="R30" i="4"/>
  <c r="H25" i="3"/>
  <c r="AB50" i="7"/>
  <c r="I66" i="10" s="1"/>
  <c r="AB82" i="6"/>
  <c r="H27" i="3"/>
  <c r="C62" i="10" s="1"/>
  <c r="AB50" i="6"/>
  <c r="C32" i="8"/>
  <c r="H30" i="3"/>
  <c r="R20" i="4"/>
  <c r="P67" i="7"/>
  <c r="Q19" i="4"/>
  <c r="H21" i="3"/>
  <c r="H28" i="3"/>
  <c r="C63" i="10" s="1"/>
  <c r="N83" i="7"/>
  <c r="O75" i="7"/>
  <c r="Q28" i="4"/>
  <c r="Q34" i="4"/>
  <c r="N25" i="7"/>
  <c r="Q74" i="6"/>
  <c r="O84" i="6"/>
  <c r="M48" i="6"/>
  <c r="N32" i="6"/>
  <c r="N28" i="6"/>
  <c r="N84" i="7"/>
  <c r="M81" i="6"/>
  <c r="M60" i="6"/>
  <c r="N78" i="6"/>
  <c r="P61" i="7"/>
  <c r="AA79" i="6"/>
  <c r="O31" i="7"/>
  <c r="Q36" i="4"/>
  <c r="P76" i="6"/>
  <c r="P80" i="7"/>
  <c r="Q64" i="7"/>
  <c r="N46" i="7"/>
  <c r="Q63" i="6"/>
  <c r="Q50" i="7"/>
  <c r="M67" i="7"/>
  <c r="AB22" i="7"/>
  <c r="I38" i="10" s="1"/>
  <c r="O27" i="6"/>
  <c r="G22" i="4"/>
  <c r="K10" i="4" s="1"/>
  <c r="O66" i="7"/>
  <c r="M83" i="7"/>
  <c r="O63" i="7"/>
  <c r="M33" i="7"/>
  <c r="N47" i="6"/>
  <c r="O45" i="6"/>
  <c r="P74" i="7"/>
  <c r="O56" i="7"/>
  <c r="P25" i="6"/>
  <c r="O48" i="6"/>
  <c r="Q32" i="6"/>
  <c r="I68" i="7"/>
  <c r="O45" i="7"/>
  <c r="AA32" i="6"/>
  <c r="M77" i="6"/>
  <c r="O58" i="6"/>
  <c r="N46" i="6"/>
  <c r="O40" i="7"/>
  <c r="Q78" i="7"/>
  <c r="O78" i="7"/>
  <c r="O46" i="7"/>
  <c r="AB44" i="7"/>
  <c r="I60" i="10" s="1"/>
  <c r="O29" i="7"/>
  <c r="P57" i="6"/>
  <c r="M25" i="13"/>
  <c r="AX25" i="13"/>
  <c r="R10" i="13"/>
  <c r="N10" i="13"/>
  <c r="O10" i="13" s="1"/>
  <c r="V10" i="13"/>
  <c r="AK10" i="13"/>
  <c r="T10" i="13"/>
  <c r="N44" i="13"/>
  <c r="V44" i="13"/>
  <c r="AK44" i="13"/>
  <c r="T44" i="13"/>
  <c r="R44" i="13"/>
  <c r="AB66" i="7"/>
  <c r="Q66" i="7"/>
  <c r="AA66" i="7"/>
  <c r="F53" i="8"/>
  <c r="AA81" i="7"/>
  <c r="Q81" i="7"/>
  <c r="F69" i="8"/>
  <c r="AB81" i="7"/>
  <c r="M76" i="7"/>
  <c r="B64" i="8"/>
  <c r="L30" i="8"/>
  <c r="N44" i="7"/>
  <c r="J62" i="8"/>
  <c r="AB23" i="6"/>
  <c r="W23" i="6"/>
  <c r="AA23" i="6"/>
  <c r="Q23" i="6"/>
  <c r="O60" i="6"/>
  <c r="H85" i="6"/>
  <c r="N73" i="6"/>
  <c r="O23" i="6"/>
  <c r="M26" i="6"/>
  <c r="D12" i="8"/>
  <c r="AA25" i="7"/>
  <c r="Q25" i="7"/>
  <c r="AB25" i="7"/>
  <c r="I41" i="10" s="1"/>
  <c r="O57" i="6"/>
  <c r="O47" i="6"/>
  <c r="V48" i="13"/>
  <c r="AK48" i="13"/>
  <c r="R48" i="13"/>
  <c r="N48" i="13"/>
  <c r="T48" i="13"/>
  <c r="AX8" i="13"/>
  <c r="M8" i="13"/>
  <c r="J72" i="8"/>
  <c r="I72" i="8"/>
  <c r="M74" i="7"/>
  <c r="AX9" i="13"/>
  <c r="M9" i="13"/>
  <c r="AB31" i="7"/>
  <c r="I47" i="10" s="1"/>
  <c r="AA31" i="7"/>
  <c r="D18" i="8"/>
  <c r="Q31" i="7"/>
  <c r="N74" i="7"/>
  <c r="C16" i="8"/>
  <c r="P29" i="7"/>
  <c r="Q76" i="6"/>
  <c r="AB76" i="6"/>
  <c r="AA76" i="6"/>
  <c r="W76" i="6"/>
  <c r="B92" i="10" s="1"/>
  <c r="N45" i="6"/>
  <c r="L26" i="8"/>
  <c r="N40" i="7"/>
  <c r="O32" i="7"/>
  <c r="L33" i="8"/>
  <c r="N47" i="7"/>
  <c r="P84" i="6"/>
  <c r="P65" i="6"/>
  <c r="F64" i="10"/>
  <c r="Z48" i="6"/>
  <c r="D16" i="8"/>
  <c r="AB29" i="7"/>
  <c r="I45" i="10" s="1"/>
  <c r="Q29" i="7"/>
  <c r="AA29" i="7"/>
  <c r="P42" i="6"/>
  <c r="P81" i="6"/>
  <c r="B27" i="8"/>
  <c r="O41" i="7"/>
  <c r="P61" i="6"/>
  <c r="P26" i="7"/>
  <c r="M44" i="6"/>
  <c r="N29" i="6"/>
  <c r="L35" i="8"/>
  <c r="N49" i="7"/>
  <c r="O73" i="6"/>
  <c r="I85" i="6"/>
  <c r="O49" i="6"/>
  <c r="R39" i="4"/>
  <c r="D46" i="8"/>
  <c r="O59" i="7"/>
  <c r="AA74" i="6"/>
  <c r="N75" i="6"/>
  <c r="C47" i="10"/>
  <c r="S19" i="4"/>
  <c r="Q31" i="6"/>
  <c r="N25" i="6"/>
  <c r="C64" i="10"/>
  <c r="S37" i="4"/>
  <c r="AK53" i="13"/>
  <c r="V53" i="13"/>
  <c r="R53" i="13"/>
  <c r="T53" i="13"/>
  <c r="N53" i="13"/>
  <c r="O53" i="13" s="1"/>
  <c r="D54" i="8"/>
  <c r="O67" i="7"/>
  <c r="E63" i="8"/>
  <c r="P75" i="7"/>
  <c r="C69" i="8"/>
  <c r="N81" i="7"/>
  <c r="N45" i="7"/>
  <c r="N84" i="6"/>
  <c r="K10" i="8"/>
  <c r="M23" i="7"/>
  <c r="M84" i="6"/>
  <c r="R18" i="13"/>
  <c r="V18" i="13"/>
  <c r="T18" i="13"/>
  <c r="AK18" i="13"/>
  <c r="N18" i="13"/>
  <c r="AX13" i="13"/>
  <c r="M13" i="13"/>
  <c r="O84" i="7"/>
  <c r="D64" i="8"/>
  <c r="O76" i="7"/>
  <c r="D11" i="8"/>
  <c r="Q24" i="7"/>
  <c r="AB24" i="7"/>
  <c r="I40" i="10" s="1"/>
  <c r="AA24" i="7"/>
  <c r="D13" i="8"/>
  <c r="Q26" i="7"/>
  <c r="AB26" i="7"/>
  <c r="I42" i="10" s="1"/>
  <c r="AA26" i="7"/>
  <c r="F71" i="8"/>
  <c r="AB83" i="7"/>
  <c r="AA83" i="7"/>
  <c r="Q83" i="7"/>
  <c r="F52" i="8"/>
  <c r="Q65" i="7"/>
  <c r="AB65" i="7"/>
  <c r="AA65" i="7"/>
  <c r="L11" i="8"/>
  <c r="N24" i="7"/>
  <c r="L10" i="8"/>
  <c r="N23" i="7"/>
  <c r="Q44" i="7"/>
  <c r="U64" i="13"/>
  <c r="AR64" i="13"/>
  <c r="M30" i="8"/>
  <c r="C19" i="8"/>
  <c r="H19" i="8" s="1"/>
  <c r="P32" i="7"/>
  <c r="K12" i="8"/>
  <c r="M25" i="7"/>
  <c r="B20" i="8"/>
  <c r="O33" i="7"/>
  <c r="I51" i="6"/>
  <c r="O39" i="6"/>
  <c r="O44" i="6"/>
  <c r="M28" i="6"/>
  <c r="L15" i="8"/>
  <c r="N28" i="7"/>
  <c r="B33" i="8"/>
  <c r="O47" i="7"/>
  <c r="Q82" i="6"/>
  <c r="P44" i="6"/>
  <c r="R37" i="4"/>
  <c r="M22" i="6"/>
  <c r="G34" i="6"/>
  <c r="P47" i="6"/>
  <c r="Q65" i="6"/>
  <c r="W65" i="6"/>
  <c r="B82" i="10" s="1"/>
  <c r="AB65" i="6"/>
  <c r="AA65" i="6"/>
  <c r="AA40" i="6"/>
  <c r="Q40" i="6"/>
  <c r="AB40" i="6"/>
  <c r="W40" i="6"/>
  <c r="L16" i="8"/>
  <c r="N29" i="7"/>
  <c r="N74" i="6"/>
  <c r="Q42" i="6"/>
  <c r="W42" i="6"/>
  <c r="AB42" i="6"/>
  <c r="AA42" i="6"/>
  <c r="W81" i="6"/>
  <c r="B97" i="10" s="1"/>
  <c r="Q81" i="6"/>
  <c r="AB81" i="6"/>
  <c r="AA81" i="6"/>
  <c r="W46" i="6"/>
  <c r="AA46" i="6"/>
  <c r="Q46" i="6"/>
  <c r="AB46" i="6"/>
  <c r="P41" i="7"/>
  <c r="C27" i="8"/>
  <c r="P43" i="6"/>
  <c r="H51" i="6"/>
  <c r="N39" i="6"/>
  <c r="E46" i="8"/>
  <c r="P59" i="7"/>
  <c r="M30" i="6"/>
  <c r="O42" i="6"/>
  <c r="C48" i="10"/>
  <c r="S20" i="4"/>
  <c r="P28" i="6"/>
  <c r="Q37" i="4"/>
  <c r="J68" i="6"/>
  <c r="P56" i="6"/>
  <c r="B70" i="6"/>
  <c r="B111" i="10" s="1"/>
  <c r="P58" i="6"/>
  <c r="E53" i="8"/>
  <c r="P66" i="7"/>
  <c r="AX11" i="13"/>
  <c r="M11" i="13"/>
  <c r="C11" i="8"/>
  <c r="P24" i="7"/>
  <c r="O64" i="7"/>
  <c r="L43" i="13"/>
  <c r="M41" i="13"/>
  <c r="AX41" i="13"/>
  <c r="AX62" i="13"/>
  <c r="M62" i="13"/>
  <c r="AX30" i="13"/>
  <c r="M30" i="13"/>
  <c r="C66" i="8"/>
  <c r="N78" i="7"/>
  <c r="N64" i="7"/>
  <c r="M61" i="13"/>
  <c r="AX61" i="13"/>
  <c r="C70" i="8"/>
  <c r="N82" i="7"/>
  <c r="C61" i="8"/>
  <c r="N73" i="7"/>
  <c r="H85" i="7"/>
  <c r="E69" i="8"/>
  <c r="P81" i="7"/>
  <c r="F64" i="8"/>
  <c r="Q76" i="7"/>
  <c r="AB76" i="7"/>
  <c r="AA76" i="7"/>
  <c r="J51" i="8"/>
  <c r="I51" i="8"/>
  <c r="C62" i="11" s="1"/>
  <c r="M64" i="7"/>
  <c r="B28" i="8"/>
  <c r="O42" i="7"/>
  <c r="N60" i="6"/>
  <c r="C18" i="8"/>
  <c r="P31" i="7"/>
  <c r="P82" i="6"/>
  <c r="B70" i="8"/>
  <c r="M82" i="7"/>
  <c r="B15" i="8"/>
  <c r="O28" i="7"/>
  <c r="C17" i="8"/>
  <c r="P30" i="7"/>
  <c r="C33" i="8"/>
  <c r="P47" i="7"/>
  <c r="O76" i="6"/>
  <c r="M65" i="6"/>
  <c r="P27" i="7"/>
  <c r="M32" i="6"/>
  <c r="AX24" i="13"/>
  <c r="M24" i="13"/>
  <c r="B14" i="8"/>
  <c r="O27" i="7"/>
  <c r="O43" i="6"/>
  <c r="M42" i="6"/>
  <c r="N81" i="6"/>
  <c r="AB43" i="6"/>
  <c r="W43" i="6"/>
  <c r="AA43" i="6"/>
  <c r="Q43" i="6"/>
  <c r="H34" i="6"/>
  <c r="N22" i="6"/>
  <c r="N50" i="6"/>
  <c r="P25" i="7"/>
  <c r="C12" i="8"/>
  <c r="P39" i="6"/>
  <c r="B53" i="6"/>
  <c r="J51" i="6"/>
  <c r="O33" i="6"/>
  <c r="F48" i="10"/>
  <c r="Z32" i="6"/>
  <c r="G85" i="6"/>
  <c r="M73" i="6"/>
  <c r="N42" i="6"/>
  <c r="N30" i="6"/>
  <c r="H22" i="4"/>
  <c r="L10" i="4" s="1"/>
  <c r="B52" i="4"/>
  <c r="AA83" i="6"/>
  <c r="W83" i="6"/>
  <c r="B99" i="10" s="1"/>
  <c r="AB83" i="6"/>
  <c r="Q83" i="6"/>
  <c r="O74" i="6"/>
  <c r="C38" i="10"/>
  <c r="S10" i="4"/>
  <c r="H17" i="3"/>
  <c r="P27" i="6"/>
  <c r="K27" i="8"/>
  <c r="M41" i="7"/>
  <c r="C47" i="8"/>
  <c r="N60" i="7"/>
  <c r="K17" i="8"/>
  <c r="M30" i="7"/>
  <c r="M40" i="7"/>
  <c r="K26" i="8"/>
  <c r="L63" i="13"/>
  <c r="L14" i="13"/>
  <c r="L17" i="8"/>
  <c r="N30" i="7"/>
  <c r="I66" i="8"/>
  <c r="C74" i="11" s="1"/>
  <c r="D26" i="8"/>
  <c r="AB40" i="7"/>
  <c r="I56" i="10" s="1"/>
  <c r="Q40" i="7"/>
  <c r="AA40" i="7"/>
  <c r="B9" i="8"/>
  <c r="I34" i="7"/>
  <c r="O22" i="7"/>
  <c r="T47" i="13"/>
  <c r="N47" i="13"/>
  <c r="O47" i="13" s="1"/>
  <c r="V47" i="13"/>
  <c r="R47" i="13"/>
  <c r="AK47" i="13"/>
  <c r="E64" i="8"/>
  <c r="P76" i="7"/>
  <c r="L55" i="13"/>
  <c r="I48" i="8"/>
  <c r="C59" i="11" s="1"/>
  <c r="M83" i="6"/>
  <c r="K9" i="8"/>
  <c r="G34" i="7"/>
  <c r="M22" i="7"/>
  <c r="F70" i="8"/>
  <c r="AB82" i="7"/>
  <c r="AA82" i="7"/>
  <c r="Q82" i="7"/>
  <c r="L42" i="13"/>
  <c r="AX57" i="13"/>
  <c r="M57" i="13"/>
  <c r="AS45" i="13"/>
  <c r="W45" i="13"/>
  <c r="O44" i="13"/>
  <c r="T34" i="13"/>
  <c r="N34" i="13"/>
  <c r="V34" i="13"/>
  <c r="AK34" i="13"/>
  <c r="R34" i="13"/>
  <c r="C67" i="8"/>
  <c r="N79" i="7"/>
  <c r="Q79" i="7"/>
  <c r="F67" i="8"/>
  <c r="AB79" i="7"/>
  <c r="AA79" i="7"/>
  <c r="B67" i="8"/>
  <c r="M79" i="7"/>
  <c r="N75" i="7"/>
  <c r="C52" i="8"/>
  <c r="N65" i="7"/>
  <c r="B52" i="8"/>
  <c r="M65" i="7"/>
  <c r="F43" i="8"/>
  <c r="AA56" i="7"/>
  <c r="K68" i="7"/>
  <c r="AB56" i="7"/>
  <c r="Q61" i="7"/>
  <c r="Q56" i="7"/>
  <c r="E43" i="8"/>
  <c r="J68" i="7"/>
  <c r="B70" i="7"/>
  <c r="D37" i="9" s="1"/>
  <c r="F37" i="9" s="1"/>
  <c r="H13" i="11" s="1"/>
  <c r="P56" i="7"/>
  <c r="O61" i="7"/>
  <c r="O82" i="6"/>
  <c r="F45" i="8"/>
  <c r="Q58" i="7"/>
  <c r="AA58" i="7"/>
  <c r="AB58" i="7"/>
  <c r="D65" i="8"/>
  <c r="O77" i="7"/>
  <c r="M78" i="6"/>
  <c r="N44" i="6"/>
  <c r="N82" i="6"/>
  <c r="K15" i="8"/>
  <c r="M28" i="7"/>
  <c r="M46" i="7"/>
  <c r="P79" i="6"/>
  <c r="D70" i="8"/>
  <c r="O82" i="7"/>
  <c r="AB75" i="6"/>
  <c r="AA75" i="6"/>
  <c r="W75" i="6"/>
  <c r="B91" i="10" s="1"/>
  <c r="Q75" i="6"/>
  <c r="AB47" i="7"/>
  <c r="I63" i="10" s="1"/>
  <c r="D33" i="8"/>
  <c r="Q47" i="7"/>
  <c r="AA47" i="7"/>
  <c r="W64" i="6"/>
  <c r="B81" i="10" s="1"/>
  <c r="AB64" i="6"/>
  <c r="AA64" i="6"/>
  <c r="Q64" i="6"/>
  <c r="B55" i="4"/>
  <c r="H40" i="4"/>
  <c r="L31" i="4" s="1"/>
  <c r="P31" i="6"/>
  <c r="N26" i="7"/>
  <c r="P30" i="6"/>
  <c r="O28" i="6"/>
  <c r="O64" i="6"/>
  <c r="W39" i="6"/>
  <c r="AA39" i="6"/>
  <c r="Q45" i="6"/>
  <c r="Q39" i="6"/>
  <c r="K51" i="6"/>
  <c r="AB39" i="6"/>
  <c r="O26" i="6"/>
  <c r="P80" i="6"/>
  <c r="AA80" i="6"/>
  <c r="N31" i="6"/>
  <c r="AB32" i="6"/>
  <c r="R34" i="4"/>
  <c r="AB84" i="6"/>
  <c r="Q29" i="6"/>
  <c r="AB29" i="6"/>
  <c r="W29" i="6"/>
  <c r="AA29" i="6"/>
  <c r="N83" i="6"/>
  <c r="P24" i="6"/>
  <c r="C39" i="10"/>
  <c r="S11" i="4"/>
  <c r="M25" i="6"/>
  <c r="Q31" i="4"/>
  <c r="C65" i="10"/>
  <c r="S38" i="4"/>
  <c r="AS64" i="13"/>
  <c r="W64" i="13"/>
  <c r="L29" i="8"/>
  <c r="N43" i="7"/>
  <c r="D10" i="8"/>
  <c r="Q23" i="7"/>
  <c r="AB23" i="7"/>
  <c r="I39" i="10" s="1"/>
  <c r="AA23" i="7"/>
  <c r="L49" i="13"/>
  <c r="AD45" i="13"/>
  <c r="Q45" i="13"/>
  <c r="AA45" i="13"/>
  <c r="Z45" i="13"/>
  <c r="AX58" i="13"/>
  <c r="M58" i="13"/>
  <c r="M28" i="13"/>
  <c r="AX28" i="13"/>
  <c r="AX12" i="13"/>
  <c r="M12" i="13"/>
  <c r="F54" i="8"/>
  <c r="AA67" i="7"/>
  <c r="AB67" i="7"/>
  <c r="Q67" i="7"/>
  <c r="B69" i="8"/>
  <c r="M81" i="7"/>
  <c r="B44" i="8"/>
  <c r="M57" i="7"/>
  <c r="K11" i="8"/>
  <c r="M24" i="7"/>
  <c r="E45" i="8"/>
  <c r="P58" i="7"/>
  <c r="O31" i="6"/>
  <c r="Q38" i="4"/>
  <c r="R38" i="4"/>
  <c r="O25" i="7"/>
  <c r="O40" i="6"/>
  <c r="M76" i="6"/>
  <c r="N49" i="6"/>
  <c r="O50" i="6"/>
  <c r="N31" i="7"/>
  <c r="O67" i="6"/>
  <c r="C43" i="10"/>
  <c r="S15" i="4"/>
  <c r="R15" i="4"/>
  <c r="Q15" i="4"/>
  <c r="C56" i="10"/>
  <c r="S29" i="4"/>
  <c r="K19" i="4"/>
  <c r="R19" i="4"/>
  <c r="Q22" i="7"/>
  <c r="AA58" i="6"/>
  <c r="W58" i="6"/>
  <c r="B75" i="10" s="1"/>
  <c r="Q58" i="6"/>
  <c r="AB58" i="6"/>
  <c r="C9" i="8"/>
  <c r="H9" i="8" s="1"/>
  <c r="J34" i="7"/>
  <c r="B36" i="7"/>
  <c r="D35" i="9" s="1"/>
  <c r="F35" i="9" s="1"/>
  <c r="H11" i="11" s="1"/>
  <c r="P22" i="7"/>
  <c r="N26" i="6"/>
  <c r="R35" i="4"/>
  <c r="Q35" i="4"/>
  <c r="K34" i="8"/>
  <c r="M48" i="7"/>
  <c r="P63" i="6"/>
  <c r="W30" i="6"/>
  <c r="AA30" i="6"/>
  <c r="Q30" i="6"/>
  <c r="AB30" i="6"/>
  <c r="AX46" i="13"/>
  <c r="M46" i="13"/>
  <c r="V32" i="13"/>
  <c r="T32" i="13"/>
  <c r="AK32" i="13"/>
  <c r="R32" i="13"/>
  <c r="N32" i="13"/>
  <c r="L17" i="13"/>
  <c r="N27" i="13"/>
  <c r="O27" i="13" s="1"/>
  <c r="V27" i="13"/>
  <c r="AK27" i="13"/>
  <c r="T27" i="13"/>
  <c r="R27" i="13"/>
  <c r="D69" i="8"/>
  <c r="O81" i="7"/>
  <c r="C35" i="8"/>
  <c r="P49" i="7"/>
  <c r="E44" i="8"/>
  <c r="P57" i="7"/>
  <c r="B46" i="8"/>
  <c r="M59" i="7"/>
  <c r="B49" i="8"/>
  <c r="M62" i="7"/>
  <c r="N56" i="7"/>
  <c r="H68" i="7"/>
  <c r="N67" i="7"/>
  <c r="C43" i="8"/>
  <c r="N77" i="6"/>
  <c r="C65" i="8"/>
  <c r="N77" i="7"/>
  <c r="C53" i="8"/>
  <c r="N66" i="7"/>
  <c r="Q28" i="6"/>
  <c r="AB28" i="6"/>
  <c r="AA28" i="6"/>
  <c r="W28" i="6"/>
  <c r="P75" i="6"/>
  <c r="C10" i="8"/>
  <c r="P23" i="7"/>
  <c r="E70" i="8"/>
  <c r="P82" i="7"/>
  <c r="B50" i="8"/>
  <c r="M63" i="7"/>
  <c r="N67" i="6"/>
  <c r="N33" i="7"/>
  <c r="K33" i="8"/>
  <c r="M47" i="7"/>
  <c r="P66" i="6"/>
  <c r="M33" i="6"/>
  <c r="M41" i="6"/>
  <c r="D28" i="8"/>
  <c r="AB42" i="7"/>
  <c r="I58" i="10" s="1"/>
  <c r="Q42" i="7"/>
  <c r="AA42" i="7"/>
  <c r="R32" i="4"/>
  <c r="Q32" i="4"/>
  <c r="C34" i="8"/>
  <c r="P48" i="7"/>
  <c r="N62" i="6"/>
  <c r="N27" i="6"/>
  <c r="B11" i="8"/>
  <c r="O24" i="7"/>
  <c r="E47" i="8"/>
  <c r="P60" i="7"/>
  <c r="C44" i="8"/>
  <c r="N57" i="7"/>
  <c r="AA32" i="7"/>
  <c r="P41" i="6"/>
  <c r="Q84" i="6"/>
  <c r="M64" i="6"/>
  <c r="R29" i="4"/>
  <c r="Q29" i="4"/>
  <c r="M49" i="6"/>
  <c r="Q66" i="6"/>
  <c r="AB66" i="6"/>
  <c r="C41" i="10"/>
  <c r="S13" i="4"/>
  <c r="R10" i="4"/>
  <c r="N79" i="6"/>
  <c r="C57" i="10"/>
  <c r="K14" i="8"/>
  <c r="M27" i="7"/>
  <c r="AB27" i="6"/>
  <c r="AA27" i="6"/>
  <c r="Q27" i="6"/>
  <c r="W27" i="6"/>
  <c r="O75" i="6"/>
  <c r="M36" i="8"/>
  <c r="M26" i="7"/>
  <c r="L60" i="13"/>
  <c r="D62" i="8"/>
  <c r="I62" i="8" s="1"/>
  <c r="C70" i="11" s="1"/>
  <c r="O74" i="7"/>
  <c r="F63" i="8"/>
  <c r="AA75" i="7"/>
  <c r="AB75" i="7"/>
  <c r="Q75" i="7"/>
  <c r="C68" i="8"/>
  <c r="N80" i="7"/>
  <c r="D31" i="8"/>
  <c r="AB45" i="7"/>
  <c r="I61" i="10" s="1"/>
  <c r="AA45" i="7"/>
  <c r="Q45" i="7"/>
  <c r="B36" i="8"/>
  <c r="E36" i="8" s="1"/>
  <c r="O50" i="7"/>
  <c r="G68" i="7"/>
  <c r="M56" i="7"/>
  <c r="B43" i="8"/>
  <c r="AB59" i="7"/>
  <c r="AA59" i="7"/>
  <c r="F46" i="8"/>
  <c r="Q59" i="7"/>
  <c r="P32" i="6"/>
  <c r="O79" i="6"/>
  <c r="M75" i="6"/>
  <c r="O25" i="6"/>
  <c r="N41" i="6"/>
  <c r="K28" i="8"/>
  <c r="M42" i="7"/>
  <c r="R14" i="4"/>
  <c r="K14" i="4"/>
  <c r="AR45" i="13"/>
  <c r="U45" i="13"/>
  <c r="AX56" i="13"/>
  <c r="M56" i="13"/>
  <c r="L23" i="13"/>
  <c r="E71" i="8"/>
  <c r="P83" i="7"/>
  <c r="B53" i="8"/>
  <c r="M66" i="7"/>
  <c r="D68" i="8"/>
  <c r="O80" i="7"/>
  <c r="E52" i="8"/>
  <c r="P65" i="7"/>
  <c r="B68" i="8"/>
  <c r="M80" i="7"/>
  <c r="B13" i="8"/>
  <c r="O26" i="7"/>
  <c r="O44" i="7"/>
  <c r="B30" i="8"/>
  <c r="H30" i="8" s="1"/>
  <c r="M73" i="7"/>
  <c r="B61" i="8"/>
  <c r="G85" i="7"/>
  <c r="F44" i="8"/>
  <c r="AB57" i="7"/>
  <c r="AA57" i="7"/>
  <c r="Q57" i="7"/>
  <c r="C46" i="8"/>
  <c r="N59" i="7"/>
  <c r="E49" i="8"/>
  <c r="P62" i="7"/>
  <c r="AA67" i="6"/>
  <c r="Q67" i="6"/>
  <c r="W67" i="6"/>
  <c r="B84" i="10" s="1"/>
  <c r="AB67" i="6"/>
  <c r="E65" i="8"/>
  <c r="P77" i="7"/>
  <c r="M44" i="7"/>
  <c r="M75" i="7"/>
  <c r="L25" i="8"/>
  <c r="H51" i="7"/>
  <c r="N39" i="7"/>
  <c r="Q63" i="7"/>
  <c r="AB63" i="7"/>
  <c r="AA63" i="7"/>
  <c r="F50" i="8"/>
  <c r="M67" i="6"/>
  <c r="M82" i="6"/>
  <c r="P63" i="7"/>
  <c r="E50" i="8"/>
  <c r="N58" i="6"/>
  <c r="N66" i="6"/>
  <c r="P33" i="6"/>
  <c r="I40" i="4"/>
  <c r="M35" i="4" s="1"/>
  <c r="AA22" i="7"/>
  <c r="C28" i="8"/>
  <c r="P42" i="7"/>
  <c r="Q80" i="6"/>
  <c r="D34" i="8"/>
  <c r="AB48" i="7"/>
  <c r="I64" i="10" s="1"/>
  <c r="AA48" i="7"/>
  <c r="Q48" i="7"/>
  <c r="M59" i="6"/>
  <c r="W25" i="6"/>
  <c r="AB25" i="6"/>
  <c r="AA25" i="6"/>
  <c r="Q25" i="6"/>
  <c r="P45" i="6"/>
  <c r="O78" i="6"/>
  <c r="AB60" i="7"/>
  <c r="F47" i="8"/>
  <c r="Q60" i="7"/>
  <c r="AA60" i="7"/>
  <c r="N64" i="6"/>
  <c r="O29" i="6"/>
  <c r="AB32" i="7"/>
  <c r="I48" i="10" s="1"/>
  <c r="B45" i="8"/>
  <c r="M58" i="7"/>
  <c r="P83" i="6"/>
  <c r="P64" i="6"/>
  <c r="F47" i="10"/>
  <c r="Z31" i="6"/>
  <c r="L18" i="4"/>
  <c r="M63" i="6"/>
  <c r="Q26" i="6"/>
  <c r="W26" i="6"/>
  <c r="AB26" i="6"/>
  <c r="AA26" i="6"/>
  <c r="I68" i="6"/>
  <c r="O56" i="6"/>
  <c r="F40" i="10"/>
  <c r="Z24" i="6"/>
  <c r="C42" i="10"/>
  <c r="S14" i="4"/>
  <c r="Q14" i="4"/>
  <c r="M74" i="6"/>
  <c r="P67" i="6"/>
  <c r="O62" i="6"/>
  <c r="C55" i="10"/>
  <c r="S28" i="4"/>
  <c r="K18" i="8"/>
  <c r="M31" i="7"/>
  <c r="F49" i="8"/>
  <c r="AB62" i="7"/>
  <c r="AA62" i="7"/>
  <c r="Q62" i="7"/>
  <c r="K29" i="8"/>
  <c r="M43" i="7"/>
  <c r="P28" i="7"/>
  <c r="C15" i="8"/>
  <c r="M50" i="6"/>
  <c r="AB77" i="6"/>
  <c r="Q77" i="6"/>
  <c r="AA77" i="6"/>
  <c r="W77" i="6"/>
  <c r="B93" i="10" s="1"/>
  <c r="B17" i="8"/>
  <c r="O30" i="7"/>
  <c r="F63" i="10"/>
  <c r="Z47" i="6"/>
  <c r="D14" i="8"/>
  <c r="AB27" i="7"/>
  <c r="I43" i="10" s="1"/>
  <c r="AA27" i="7"/>
  <c r="Q27" i="7"/>
  <c r="Q79" i="6"/>
  <c r="D25" i="8"/>
  <c r="AA39" i="7"/>
  <c r="Q39" i="7"/>
  <c r="K51" i="7"/>
  <c r="AB39" i="7"/>
  <c r="I55" i="10" s="1"/>
  <c r="O23" i="7"/>
  <c r="L14" i="8"/>
  <c r="N27" i="7"/>
  <c r="O59" i="6"/>
  <c r="Q21" i="4"/>
  <c r="R21" i="4"/>
  <c r="B47" i="8"/>
  <c r="M60" i="7"/>
  <c r="D17" i="8"/>
  <c r="Q30" i="7"/>
  <c r="AA30" i="7"/>
  <c r="AB30" i="7"/>
  <c r="I46" i="10" s="1"/>
  <c r="M57" i="6"/>
  <c r="O41" i="6"/>
  <c r="AB60" i="6"/>
  <c r="AA60" i="6"/>
  <c r="W60" i="6"/>
  <c r="B77" i="10" s="1"/>
  <c r="Q60" i="6"/>
  <c r="AX38" i="13"/>
  <c r="M38" i="13"/>
  <c r="L29" i="13"/>
  <c r="M26" i="13"/>
  <c r="AX26" i="13"/>
  <c r="M33" i="13"/>
  <c r="AX33" i="13"/>
  <c r="E67" i="8"/>
  <c r="P79" i="7"/>
  <c r="C64" i="8"/>
  <c r="N76" i="7"/>
  <c r="C26" i="8"/>
  <c r="P40" i="7"/>
  <c r="N80" i="6"/>
  <c r="P33" i="7"/>
  <c r="C20" i="8"/>
  <c r="D61" i="8"/>
  <c r="O73" i="7"/>
  <c r="O83" i="7"/>
  <c r="I85" i="7"/>
  <c r="O79" i="7"/>
  <c r="M32" i="8"/>
  <c r="H32" i="8"/>
  <c r="E32" i="8"/>
  <c r="AX59" i="13"/>
  <c r="M59" i="13"/>
  <c r="T54" i="13"/>
  <c r="R54" i="13"/>
  <c r="AK54" i="13"/>
  <c r="V54" i="13"/>
  <c r="N54" i="13"/>
  <c r="O54" i="13" s="1"/>
  <c r="M31" i="13"/>
  <c r="AX31" i="13"/>
  <c r="B66" i="8"/>
  <c r="J66" i="8" s="1"/>
  <c r="K66" i="8" s="1"/>
  <c r="M78" i="7"/>
  <c r="C45" i="8"/>
  <c r="N58" i="7"/>
  <c r="B48" i="8"/>
  <c r="J48" i="8" s="1"/>
  <c r="K48" i="8" s="1"/>
  <c r="M61" i="7"/>
  <c r="F68" i="8"/>
  <c r="AB80" i="7"/>
  <c r="AA80" i="7"/>
  <c r="Q80" i="7"/>
  <c r="B34" i="8"/>
  <c r="O48" i="7"/>
  <c r="F65" i="8"/>
  <c r="AA77" i="7"/>
  <c r="Q77" i="7"/>
  <c r="AB77" i="7"/>
  <c r="AB33" i="7"/>
  <c r="I49" i="10" s="1"/>
  <c r="Q33" i="7"/>
  <c r="D20" i="8"/>
  <c r="AA33" i="7"/>
  <c r="P62" i="6"/>
  <c r="O81" i="6"/>
  <c r="P74" i="6"/>
  <c r="O46" i="6"/>
  <c r="N32" i="7"/>
  <c r="N65" i="6"/>
  <c r="Q33" i="6"/>
  <c r="AB33" i="6"/>
  <c r="W33" i="6"/>
  <c r="AA33" i="6"/>
  <c r="M66" i="6"/>
  <c r="K34" i="7"/>
  <c r="Q44" i="6"/>
  <c r="AA44" i="6"/>
  <c r="W44" i="6"/>
  <c r="AB44" i="6"/>
  <c r="L11" i="4"/>
  <c r="AB79" i="6"/>
  <c r="C25" i="8"/>
  <c r="B53" i="7"/>
  <c r="D36" i="9" s="1"/>
  <c r="F36" i="9" s="1"/>
  <c r="H12" i="11" s="1"/>
  <c r="J51" i="7"/>
  <c r="P50" i="7"/>
  <c r="P39" i="7"/>
  <c r="P44" i="7"/>
  <c r="P59" i="6"/>
  <c r="L16" i="4"/>
  <c r="P78" i="6"/>
  <c r="D47" i="8"/>
  <c r="O60" i="7"/>
  <c r="O63" i="6"/>
  <c r="M27" i="6"/>
  <c r="M43" i="6"/>
  <c r="Q32" i="7"/>
  <c r="O30" i="6"/>
  <c r="R16" i="4"/>
  <c r="N24" i="6"/>
  <c r="N61" i="6"/>
  <c r="Q48" i="6"/>
  <c r="AA24" i="6"/>
  <c r="C44" i="10"/>
  <c r="S16" i="4"/>
  <c r="Q33" i="4"/>
  <c r="Q10" i="4"/>
  <c r="AA63" i="6"/>
  <c r="P60" i="6"/>
  <c r="C58" i="10"/>
  <c r="S31" i="4"/>
  <c r="AA28" i="7"/>
  <c r="AB74" i="7"/>
  <c r="C29" i="8"/>
  <c r="P43" i="7"/>
  <c r="E61" i="8"/>
  <c r="B87" i="7"/>
  <c r="P73" i="7"/>
  <c r="J85" i="7"/>
  <c r="P84" i="7"/>
  <c r="P46" i="7"/>
  <c r="C49" i="8"/>
  <c r="N62" i="7"/>
  <c r="M40" i="13"/>
  <c r="AX40" i="13"/>
  <c r="AX19" i="13"/>
  <c r="M19" i="13"/>
  <c r="AX39" i="13"/>
  <c r="M39" i="13"/>
  <c r="AX16" i="13"/>
  <c r="M16" i="13"/>
  <c r="N50" i="7"/>
  <c r="L36" i="8"/>
  <c r="AX15" i="13"/>
  <c r="M15" i="13"/>
  <c r="D35" i="8"/>
  <c r="AB49" i="7"/>
  <c r="I65" i="10" s="1"/>
  <c r="AA49" i="7"/>
  <c r="Q49" i="7"/>
  <c r="Q74" i="7"/>
  <c r="B25" i="8"/>
  <c r="I51" i="7"/>
  <c r="O39" i="7"/>
  <c r="F61" i="8"/>
  <c r="K85" i="7"/>
  <c r="Q73" i="7"/>
  <c r="AA73" i="7"/>
  <c r="Q84" i="7"/>
  <c r="AB73" i="7"/>
  <c r="D44" i="8"/>
  <c r="O57" i="7"/>
  <c r="Q46" i="7"/>
  <c r="O62" i="7"/>
  <c r="D49" i="8"/>
  <c r="AD64" i="13"/>
  <c r="Q64" i="13"/>
  <c r="AA64" i="13"/>
  <c r="Z64" i="13"/>
  <c r="B65" i="8"/>
  <c r="M77" i="7"/>
  <c r="B29" i="8"/>
  <c r="O43" i="7"/>
  <c r="C50" i="8"/>
  <c r="N63" i="7"/>
  <c r="M32" i="7"/>
  <c r="D29" i="8"/>
  <c r="AB43" i="7"/>
  <c r="I59" i="10" s="1"/>
  <c r="AA43" i="7"/>
  <c r="Q43" i="7"/>
  <c r="AA50" i="7"/>
  <c r="M50" i="7"/>
  <c r="L9" i="8"/>
  <c r="H34" i="7"/>
  <c r="N22" i="7"/>
  <c r="AB61" i="6"/>
  <c r="Q61" i="6"/>
  <c r="W61" i="6"/>
  <c r="B78" i="10" s="1"/>
  <c r="AA61" i="6"/>
  <c r="O32" i="6"/>
  <c r="P73" i="6"/>
  <c r="J85" i="6"/>
  <c r="P77" i="6"/>
  <c r="B87" i="6"/>
  <c r="B112" i="10" s="1"/>
  <c r="M56" i="6"/>
  <c r="G68" i="6"/>
  <c r="L28" i="8"/>
  <c r="N42" i="7"/>
  <c r="M40" i="6"/>
  <c r="G40" i="4"/>
  <c r="K29" i="4" s="1"/>
  <c r="G51" i="7"/>
  <c r="K25" i="8"/>
  <c r="M39" i="7"/>
  <c r="M45" i="7"/>
  <c r="AA82" i="6"/>
  <c r="R11" i="4"/>
  <c r="L34" i="8"/>
  <c r="N48" i="7"/>
  <c r="Q59" i="6"/>
  <c r="AB59" i="6"/>
  <c r="AA59" i="6"/>
  <c r="W59" i="6"/>
  <c r="B76" i="10" s="1"/>
  <c r="Q39" i="4"/>
  <c r="W78" i="6"/>
  <c r="B94" i="10" s="1"/>
  <c r="AB78" i="6"/>
  <c r="AA78" i="6"/>
  <c r="Q78" i="6"/>
  <c r="M62" i="6"/>
  <c r="N23" i="6"/>
  <c r="D45" i="8"/>
  <c r="O58" i="7"/>
  <c r="O80" i="6"/>
  <c r="AB62" i="6"/>
  <c r="W62" i="6"/>
  <c r="B79" i="10" s="1"/>
  <c r="Q62" i="6"/>
  <c r="AA62" i="6"/>
  <c r="M61" i="6"/>
  <c r="P64" i="7"/>
  <c r="P40" i="6"/>
  <c r="AA48" i="6"/>
  <c r="AB24" i="6"/>
  <c r="C45" i="10"/>
  <c r="S17" i="4"/>
  <c r="M29" i="6"/>
  <c r="P23" i="6"/>
  <c r="AB63" i="6"/>
  <c r="N48" i="6"/>
  <c r="P48" i="6"/>
  <c r="C66" i="10"/>
  <c r="S39" i="4"/>
  <c r="Q28" i="7"/>
  <c r="M80" i="6"/>
  <c r="M58" i="6"/>
  <c r="O22" i="6"/>
  <c r="I34" i="6"/>
  <c r="M24" i="6"/>
  <c r="AB48" i="6"/>
  <c r="Q24" i="6"/>
  <c r="C46" i="10"/>
  <c r="S18" i="4"/>
  <c r="H68" i="6"/>
  <c r="N40" i="6"/>
  <c r="J34" i="6"/>
  <c r="M47" i="6"/>
  <c r="M45" i="6"/>
  <c r="C59" i="10"/>
  <c r="S32" i="4"/>
  <c r="H15" i="8"/>
  <c r="E15" i="8"/>
  <c r="M15" i="8"/>
  <c r="B35" i="8"/>
  <c r="O49" i="7"/>
  <c r="O77" i="6"/>
  <c r="AA57" i="6"/>
  <c r="Q57" i="6"/>
  <c r="W57" i="6"/>
  <c r="B74" i="10" s="1"/>
  <c r="AB57" i="6"/>
  <c r="M23" i="6"/>
  <c r="K13" i="4"/>
  <c r="R13" i="4"/>
  <c r="Q50" i="6"/>
  <c r="O65" i="7"/>
  <c r="O83" i="6"/>
  <c r="O24" i="6"/>
  <c r="P29" i="6"/>
  <c r="C40" i="10"/>
  <c r="S12" i="4"/>
  <c r="N56" i="6"/>
  <c r="M46" i="6"/>
  <c r="P22" i="6"/>
  <c r="M39" i="6"/>
  <c r="C61" i="10"/>
  <c r="S34" i="4"/>
  <c r="M79" i="6"/>
  <c r="P49" i="6"/>
  <c r="AB47" i="6"/>
  <c r="Q56" i="6"/>
  <c r="K68" i="6"/>
  <c r="AB56" i="6"/>
  <c r="AA56" i="6"/>
  <c r="W56" i="6"/>
  <c r="O65" i="6"/>
  <c r="AB49" i="6"/>
  <c r="AA49" i="6"/>
  <c r="W49" i="6"/>
  <c r="Q49" i="6"/>
  <c r="K16" i="8"/>
  <c r="M29" i="7"/>
  <c r="O61" i="6"/>
  <c r="AA84" i="6"/>
  <c r="L27" i="8"/>
  <c r="N41" i="7"/>
  <c r="O66" i="6"/>
  <c r="N76" i="6"/>
  <c r="N43" i="6"/>
  <c r="AA41" i="6"/>
  <c r="AB41" i="6"/>
  <c r="Q41" i="6"/>
  <c r="W41" i="6"/>
  <c r="K35" i="8"/>
  <c r="M49" i="7"/>
  <c r="K85" i="6"/>
  <c r="AA73" i="6"/>
  <c r="W73" i="6"/>
  <c r="Q73" i="6"/>
  <c r="AB73" i="6"/>
  <c r="P50" i="6"/>
  <c r="AB22" i="6"/>
  <c r="AA22" i="6"/>
  <c r="W22" i="6"/>
  <c r="Q22" i="6"/>
  <c r="K34" i="6"/>
  <c r="I22" i="4"/>
  <c r="M16" i="4" s="1"/>
  <c r="F66" i="10"/>
  <c r="Z50" i="6"/>
  <c r="Q41" i="7"/>
  <c r="AB41" i="7"/>
  <c r="I57" i="10" s="1"/>
  <c r="AA41" i="7"/>
  <c r="D27" i="8"/>
  <c r="L21" i="4"/>
  <c r="C49" i="10"/>
  <c r="S21" i="4"/>
  <c r="N59" i="6"/>
  <c r="B36" i="6"/>
  <c r="G51" i="6"/>
  <c r="P26" i="6"/>
  <c r="C60" i="10"/>
  <c r="S33" i="4"/>
  <c r="N57" i="6"/>
  <c r="E19" i="8" l="1"/>
  <c r="M19" i="8"/>
  <c r="R48" i="6"/>
  <c r="S48" i="6" s="1"/>
  <c r="S36" i="4"/>
  <c r="S35" i="4"/>
  <c r="H32" i="3"/>
  <c r="K21" i="4"/>
  <c r="T83" i="7"/>
  <c r="C37" i="8"/>
  <c r="R77" i="6"/>
  <c r="S77" i="6" s="1"/>
  <c r="T67" i="7"/>
  <c r="R40" i="4"/>
  <c r="L21" i="8"/>
  <c r="M9" i="8"/>
  <c r="K18" i="4"/>
  <c r="K12" i="4"/>
  <c r="Q40" i="4"/>
  <c r="T48" i="6"/>
  <c r="T77" i="6"/>
  <c r="D73" i="8"/>
  <c r="T31" i="6"/>
  <c r="K37" i="8"/>
  <c r="T33" i="7"/>
  <c r="R33" i="7"/>
  <c r="S33" i="7" s="1"/>
  <c r="T60" i="6"/>
  <c r="K16" i="4"/>
  <c r="N16" i="4" s="1"/>
  <c r="K11" i="4"/>
  <c r="R81" i="6"/>
  <c r="S81" i="6" s="1"/>
  <c r="K20" i="4"/>
  <c r="L37" i="8"/>
  <c r="AA68" i="6"/>
  <c r="N19" i="8"/>
  <c r="K15" i="4"/>
  <c r="D55" i="8"/>
  <c r="R84" i="7"/>
  <c r="S84" i="7" s="1"/>
  <c r="K17" i="4"/>
  <c r="E66" i="10"/>
  <c r="C50" i="11"/>
  <c r="F36" i="8"/>
  <c r="G36" i="8"/>
  <c r="M20" i="8"/>
  <c r="H20" i="8"/>
  <c r="E20" i="8"/>
  <c r="T81" i="7"/>
  <c r="R81" i="7"/>
  <c r="S81" i="7" s="1"/>
  <c r="H10" i="8"/>
  <c r="E10" i="8"/>
  <c r="M10" i="8"/>
  <c r="R65" i="7"/>
  <c r="S65" i="7" s="1"/>
  <c r="T65" i="7"/>
  <c r="AR47" i="13"/>
  <c r="U47" i="13"/>
  <c r="F59" i="10"/>
  <c r="Z43" i="6"/>
  <c r="L38" i="4"/>
  <c r="T8" i="13"/>
  <c r="N8" i="13"/>
  <c r="AK8" i="13"/>
  <c r="V8" i="13"/>
  <c r="R8" i="13"/>
  <c r="J53" i="8"/>
  <c r="I53" i="8"/>
  <c r="C64" i="11" s="1"/>
  <c r="Q44" i="13"/>
  <c r="AA44" i="13"/>
  <c r="Z44" i="13"/>
  <c r="AD44" i="13"/>
  <c r="AD18" i="13"/>
  <c r="Z18" i="13"/>
  <c r="AA18" i="13"/>
  <c r="Q18" i="13"/>
  <c r="AR10" i="13"/>
  <c r="U10" i="13"/>
  <c r="L28" i="4"/>
  <c r="E13" i="11"/>
  <c r="C9" i="9"/>
  <c r="C111" i="10"/>
  <c r="AX55" i="13"/>
  <c r="M55" i="13"/>
  <c r="E30" i="8"/>
  <c r="N30" i="8" s="1"/>
  <c r="H13" i="8"/>
  <c r="E13" i="8"/>
  <c r="M13" i="8"/>
  <c r="O18" i="13"/>
  <c r="U48" i="13"/>
  <c r="AR48" i="13"/>
  <c r="K62" i="8"/>
  <c r="C10" i="9"/>
  <c r="C112" i="10"/>
  <c r="E14" i="11"/>
  <c r="F45" i="10"/>
  <c r="Z29" i="6"/>
  <c r="F57" i="10"/>
  <c r="Z41" i="6"/>
  <c r="T46" i="6"/>
  <c r="R46" i="6"/>
  <c r="S46" i="6" s="1"/>
  <c r="T58" i="6"/>
  <c r="R58" i="6"/>
  <c r="S58" i="6" s="1"/>
  <c r="E34" i="8"/>
  <c r="M34" i="8"/>
  <c r="H34" i="8"/>
  <c r="C107" i="10"/>
  <c r="G29" i="10"/>
  <c r="B21" i="8"/>
  <c r="AX14" i="13"/>
  <c r="M14" i="13"/>
  <c r="B107" i="10"/>
  <c r="F29" i="10"/>
  <c r="G31" i="10"/>
  <c r="C109" i="10"/>
  <c r="R42" i="6"/>
  <c r="S42" i="6" s="1"/>
  <c r="T42" i="6"/>
  <c r="N30" i="13"/>
  <c r="V30" i="13"/>
  <c r="T30" i="13"/>
  <c r="R30" i="13"/>
  <c r="AK30" i="13"/>
  <c r="H12" i="8"/>
  <c r="E12" i="8"/>
  <c r="M12" i="8"/>
  <c r="R83" i="7"/>
  <c r="S83" i="7" s="1"/>
  <c r="V19" i="13"/>
  <c r="T19" i="13"/>
  <c r="R19" i="13"/>
  <c r="AK19" i="13"/>
  <c r="N19" i="13"/>
  <c r="O19" i="13" s="1"/>
  <c r="M17" i="13"/>
  <c r="AX17" i="13"/>
  <c r="T47" i="6"/>
  <c r="R47" i="6"/>
  <c r="S47" i="6" s="1"/>
  <c r="T80" i="6"/>
  <c r="R80" i="6"/>
  <c r="S80" i="6" s="1"/>
  <c r="E48" i="10"/>
  <c r="C34" i="11"/>
  <c r="G19" i="8"/>
  <c r="F19" i="8"/>
  <c r="R40" i="6"/>
  <c r="S40" i="6" s="1"/>
  <c r="T40" i="6"/>
  <c r="AA85" i="7"/>
  <c r="M35" i="8"/>
  <c r="H35" i="8"/>
  <c r="E35" i="8"/>
  <c r="R40" i="13"/>
  <c r="N40" i="13"/>
  <c r="O40" i="13" s="1"/>
  <c r="V40" i="13"/>
  <c r="T40" i="13"/>
  <c r="AK40" i="13"/>
  <c r="U54" i="13"/>
  <c r="AR54" i="13"/>
  <c r="N26" i="13"/>
  <c r="AK26" i="13"/>
  <c r="V26" i="13"/>
  <c r="T26" i="13"/>
  <c r="R26" i="13"/>
  <c r="T31" i="7"/>
  <c r="R31" i="7"/>
  <c r="S31" i="7" s="1"/>
  <c r="M33" i="4"/>
  <c r="T67" i="6"/>
  <c r="R67" i="6"/>
  <c r="S67" i="6" s="1"/>
  <c r="AX60" i="13"/>
  <c r="M60" i="13"/>
  <c r="T41" i="6"/>
  <c r="R41" i="6"/>
  <c r="S41" i="6" s="1"/>
  <c r="AD32" i="13"/>
  <c r="Q32" i="13"/>
  <c r="AA32" i="13"/>
  <c r="Z32" i="13"/>
  <c r="F46" i="10"/>
  <c r="Z30" i="6"/>
  <c r="K38" i="4"/>
  <c r="S45" i="13"/>
  <c r="E55" i="8"/>
  <c r="B56" i="8"/>
  <c r="W34" i="13"/>
  <c r="AS34" i="13"/>
  <c r="L17" i="4"/>
  <c r="L13" i="4"/>
  <c r="L14" i="4"/>
  <c r="L12" i="4"/>
  <c r="L20" i="4"/>
  <c r="L19" i="4"/>
  <c r="R64" i="7"/>
  <c r="S64" i="7" s="1"/>
  <c r="T64" i="7"/>
  <c r="C73" i="8"/>
  <c r="R11" i="13"/>
  <c r="AK11" i="13"/>
  <c r="T11" i="13"/>
  <c r="N11" i="13"/>
  <c r="V11" i="13"/>
  <c r="F58" i="10"/>
  <c r="Z42" i="6"/>
  <c r="R28" i="6"/>
  <c r="S28" i="6" s="1"/>
  <c r="T28" i="6"/>
  <c r="J52" i="8"/>
  <c r="I52" i="8"/>
  <c r="C63" i="11" s="1"/>
  <c r="M18" i="8"/>
  <c r="H18" i="8"/>
  <c r="E18" i="8"/>
  <c r="AD48" i="13"/>
  <c r="AA48" i="13"/>
  <c r="Z48" i="13"/>
  <c r="Q48" i="13"/>
  <c r="O48" i="13"/>
  <c r="R26" i="6"/>
  <c r="S26" i="6" s="1"/>
  <c r="T26" i="6"/>
  <c r="W10" i="13"/>
  <c r="AS10" i="13"/>
  <c r="T29" i="6"/>
  <c r="R29" i="6"/>
  <c r="S29" i="6" s="1"/>
  <c r="M10" i="4"/>
  <c r="T50" i="7"/>
  <c r="R50" i="7"/>
  <c r="S50" i="7" s="1"/>
  <c r="R77" i="7"/>
  <c r="S77" i="7" s="1"/>
  <c r="T77" i="7"/>
  <c r="AK56" i="13"/>
  <c r="V56" i="13"/>
  <c r="R56" i="13"/>
  <c r="N56" i="13"/>
  <c r="O56" i="13" s="1"/>
  <c r="T56" i="13"/>
  <c r="T41" i="7"/>
  <c r="R41" i="7"/>
  <c r="S41" i="7" s="1"/>
  <c r="R61" i="7"/>
  <c r="S61" i="7" s="1"/>
  <c r="T61" i="7"/>
  <c r="T57" i="6"/>
  <c r="R57" i="6"/>
  <c r="S57" i="6" s="1"/>
  <c r="J49" i="8"/>
  <c r="I49" i="8"/>
  <c r="C60" i="11" s="1"/>
  <c r="T82" i="6"/>
  <c r="R82" i="6"/>
  <c r="S82" i="6" s="1"/>
  <c r="M28" i="8"/>
  <c r="H28" i="8"/>
  <c r="E28" i="8"/>
  <c r="B22" i="8"/>
  <c r="C21" i="8"/>
  <c r="H27" i="8"/>
  <c r="E27" i="8"/>
  <c r="M27" i="8"/>
  <c r="F38" i="10"/>
  <c r="W34" i="6"/>
  <c r="Z22" i="6"/>
  <c r="AA34" i="6"/>
  <c r="N15" i="13"/>
  <c r="O15" i="13" s="1"/>
  <c r="V15" i="13"/>
  <c r="T15" i="13"/>
  <c r="AK15" i="13"/>
  <c r="R15" i="13"/>
  <c r="E14" i="8"/>
  <c r="H14" i="8"/>
  <c r="M14" i="8"/>
  <c r="R58" i="7"/>
  <c r="S58" i="7" s="1"/>
  <c r="T58" i="7"/>
  <c r="J50" i="8"/>
  <c r="I50" i="8"/>
  <c r="C61" i="11" s="1"/>
  <c r="J44" i="8"/>
  <c r="I44" i="8"/>
  <c r="C55" i="11" s="1"/>
  <c r="R33" i="6"/>
  <c r="S33" i="6" s="1"/>
  <c r="T33" i="6"/>
  <c r="O32" i="13"/>
  <c r="AA51" i="6"/>
  <c r="T79" i="7"/>
  <c r="R79" i="7"/>
  <c r="S79" i="7" s="1"/>
  <c r="M63" i="13"/>
  <c r="AX63" i="13"/>
  <c r="N62" i="13"/>
  <c r="V62" i="13"/>
  <c r="T62" i="13"/>
  <c r="AK62" i="13"/>
  <c r="R62" i="13"/>
  <c r="U18" i="13"/>
  <c r="AR18" i="13"/>
  <c r="T84" i="7"/>
  <c r="T23" i="6"/>
  <c r="R23" i="6"/>
  <c r="S23" i="6" s="1"/>
  <c r="T44" i="7"/>
  <c r="R44" i="7"/>
  <c r="S44" i="7" s="1"/>
  <c r="R27" i="7"/>
  <c r="S27" i="7" s="1"/>
  <c r="T27" i="7"/>
  <c r="S64" i="13"/>
  <c r="F60" i="10"/>
  <c r="Z44" i="6"/>
  <c r="AK59" i="13"/>
  <c r="T59" i="13"/>
  <c r="V59" i="13"/>
  <c r="R59" i="13"/>
  <c r="N59" i="13"/>
  <c r="O59" i="13" s="1"/>
  <c r="AX29" i="13"/>
  <c r="M29" i="13"/>
  <c r="R60" i="6"/>
  <c r="S60" i="6" s="1"/>
  <c r="R50" i="6"/>
  <c r="S50" i="6" s="1"/>
  <c r="T50" i="6"/>
  <c r="J46" i="8"/>
  <c r="I46" i="8"/>
  <c r="C57" i="11" s="1"/>
  <c r="H31" i="8"/>
  <c r="M31" i="8"/>
  <c r="E31" i="8"/>
  <c r="T26" i="7"/>
  <c r="R26" i="7"/>
  <c r="S26" i="7" s="1"/>
  <c r="T64" i="6"/>
  <c r="R64" i="6"/>
  <c r="S64" i="6" s="1"/>
  <c r="F44" i="10"/>
  <c r="Z28" i="6"/>
  <c r="R48" i="7"/>
  <c r="S48" i="7" s="1"/>
  <c r="T48" i="7"/>
  <c r="J54" i="8"/>
  <c r="I54" i="8"/>
  <c r="C65" i="11" s="1"/>
  <c r="AX49" i="13"/>
  <c r="M49" i="13"/>
  <c r="F55" i="10"/>
  <c r="Z39" i="6"/>
  <c r="W51" i="6"/>
  <c r="AA34" i="13"/>
  <c r="Z34" i="13"/>
  <c r="Q34" i="13"/>
  <c r="AD34" i="13"/>
  <c r="O34" i="13"/>
  <c r="K51" i="8"/>
  <c r="W18" i="13"/>
  <c r="AS18" i="13"/>
  <c r="R76" i="7"/>
  <c r="S76" i="7" s="1"/>
  <c r="T76" i="7"/>
  <c r="AD10" i="13"/>
  <c r="AA10" i="13"/>
  <c r="Z10" i="13"/>
  <c r="Q10" i="13"/>
  <c r="M20" i="4"/>
  <c r="M12" i="4"/>
  <c r="M18" i="4"/>
  <c r="M17" i="4"/>
  <c r="M19" i="4"/>
  <c r="T56" i="6"/>
  <c r="R56" i="6"/>
  <c r="S56" i="6" s="1"/>
  <c r="B74" i="8"/>
  <c r="E73" i="8"/>
  <c r="W54" i="13"/>
  <c r="AS54" i="13"/>
  <c r="J47" i="8"/>
  <c r="I47" i="8"/>
  <c r="C58" i="11" s="1"/>
  <c r="R29" i="7"/>
  <c r="S29" i="7" s="1"/>
  <c r="T29" i="7"/>
  <c r="T45" i="6"/>
  <c r="R45" i="6"/>
  <c r="S45" i="6" s="1"/>
  <c r="C55" i="8"/>
  <c r="L37" i="4"/>
  <c r="F65" i="10"/>
  <c r="Z49" i="6"/>
  <c r="T61" i="6"/>
  <c r="R61" i="6"/>
  <c r="S61" i="6" s="1"/>
  <c r="E9" i="8"/>
  <c r="M29" i="8"/>
  <c r="H29" i="8"/>
  <c r="E29" i="8"/>
  <c r="J61" i="8"/>
  <c r="I61" i="8"/>
  <c r="F73" i="8"/>
  <c r="J65" i="8"/>
  <c r="I65" i="8"/>
  <c r="C73" i="11" s="1"/>
  <c r="T78" i="7"/>
  <c r="R78" i="7"/>
  <c r="S78" i="7" s="1"/>
  <c r="S40" i="4"/>
  <c r="B73" i="8"/>
  <c r="T66" i="7"/>
  <c r="R66" i="7"/>
  <c r="S66" i="7" s="1"/>
  <c r="R42" i="7"/>
  <c r="S42" i="7" s="1"/>
  <c r="T42" i="7"/>
  <c r="H36" i="8"/>
  <c r="T47" i="7"/>
  <c r="R47" i="7"/>
  <c r="S47" i="7" s="1"/>
  <c r="T62" i="7"/>
  <c r="R62" i="7"/>
  <c r="S62" i="7" s="1"/>
  <c r="U27" i="13"/>
  <c r="AR27" i="13"/>
  <c r="T12" i="13"/>
  <c r="V12" i="13"/>
  <c r="R12" i="13"/>
  <c r="N12" i="13"/>
  <c r="O12" i="13" s="1"/>
  <c r="AK12" i="13"/>
  <c r="L34" i="4"/>
  <c r="AR34" i="13"/>
  <c r="U34" i="13"/>
  <c r="J70" i="8"/>
  <c r="I70" i="8"/>
  <c r="S22" i="4"/>
  <c r="V24" i="13"/>
  <c r="T24" i="13"/>
  <c r="R24" i="13"/>
  <c r="N24" i="13"/>
  <c r="AK24" i="13"/>
  <c r="O30" i="13"/>
  <c r="L15" i="4"/>
  <c r="R22" i="6"/>
  <c r="S22" i="6" s="1"/>
  <c r="T22" i="6"/>
  <c r="H11" i="8"/>
  <c r="E11" i="8"/>
  <c r="M11" i="8"/>
  <c r="AD53" i="13"/>
  <c r="AA53" i="13"/>
  <c r="Z53" i="13"/>
  <c r="Q53" i="13"/>
  <c r="T44" i="6"/>
  <c r="R44" i="6"/>
  <c r="S44" i="6" s="1"/>
  <c r="H16" i="8"/>
  <c r="E16" i="8"/>
  <c r="M16" i="8"/>
  <c r="T9" i="13"/>
  <c r="V9" i="13"/>
  <c r="R9" i="13"/>
  <c r="AK9" i="13"/>
  <c r="N9" i="13"/>
  <c r="AS48" i="13"/>
  <c r="W48" i="13"/>
  <c r="O23" i="4"/>
  <c r="M13" i="4"/>
  <c r="N13" i="4" s="1"/>
  <c r="T24" i="6"/>
  <c r="R24" i="6"/>
  <c r="S24" i="6" s="1"/>
  <c r="T49" i="7"/>
  <c r="R49" i="7"/>
  <c r="S49" i="7" s="1"/>
  <c r="R75" i="7"/>
  <c r="S75" i="7" s="1"/>
  <c r="T75" i="7"/>
  <c r="O42" i="4"/>
  <c r="O41" i="4"/>
  <c r="K34" i="4"/>
  <c r="K28" i="4"/>
  <c r="K36" i="4"/>
  <c r="K31" i="4"/>
  <c r="K30" i="4"/>
  <c r="K33" i="4"/>
  <c r="AK33" i="13"/>
  <c r="R33" i="13"/>
  <c r="N33" i="13"/>
  <c r="V33" i="13"/>
  <c r="T33" i="13"/>
  <c r="M15" i="4"/>
  <c r="T62" i="6"/>
  <c r="R62" i="6"/>
  <c r="S62" i="6" s="1"/>
  <c r="E62" i="10"/>
  <c r="G32" i="8"/>
  <c r="C46" i="11"/>
  <c r="F32" i="8"/>
  <c r="N38" i="13"/>
  <c r="O38" i="13" s="1"/>
  <c r="V38" i="13"/>
  <c r="AK38" i="13"/>
  <c r="T38" i="13"/>
  <c r="R38" i="13"/>
  <c r="H17" i="8"/>
  <c r="E17" i="8"/>
  <c r="M17" i="8"/>
  <c r="C67" i="10"/>
  <c r="AA34" i="7"/>
  <c r="T73" i="7"/>
  <c r="R73" i="7"/>
  <c r="S73" i="7" s="1"/>
  <c r="N36" i="8"/>
  <c r="R22" i="4"/>
  <c r="K32" i="4"/>
  <c r="AR32" i="13"/>
  <c r="U32" i="13"/>
  <c r="R24" i="7"/>
  <c r="S24" i="7" s="1"/>
  <c r="T24" i="7"/>
  <c r="T25" i="6"/>
  <c r="R25" i="6"/>
  <c r="S25" i="6" s="1"/>
  <c r="R46" i="7"/>
  <c r="S46" i="7" s="1"/>
  <c r="T46" i="7"/>
  <c r="J45" i="8"/>
  <c r="I45" i="8"/>
  <c r="C56" i="11" s="1"/>
  <c r="R22" i="7"/>
  <c r="S22" i="7" s="1"/>
  <c r="T22" i="7"/>
  <c r="M26" i="8"/>
  <c r="H26" i="8"/>
  <c r="E26" i="8"/>
  <c r="T40" i="7"/>
  <c r="R40" i="7"/>
  <c r="S40" i="7" s="1"/>
  <c r="C50" i="10"/>
  <c r="T82" i="7"/>
  <c r="R82" i="7"/>
  <c r="S82" i="7" s="1"/>
  <c r="R84" i="6"/>
  <c r="S84" i="6" s="1"/>
  <c r="T84" i="6"/>
  <c r="U53" i="13"/>
  <c r="AR53" i="13"/>
  <c r="J69" i="8"/>
  <c r="I69" i="8"/>
  <c r="C77" i="11" s="1"/>
  <c r="U44" i="13"/>
  <c r="AR44" i="13"/>
  <c r="T81" i="6"/>
  <c r="O24" i="4"/>
  <c r="T39" i="6"/>
  <c r="R39" i="6"/>
  <c r="S39" i="6" s="1"/>
  <c r="R49" i="6"/>
  <c r="S49" i="6" s="1"/>
  <c r="T49" i="6"/>
  <c r="L36" i="4"/>
  <c r="L35" i="4"/>
  <c r="L39" i="4"/>
  <c r="L30" i="4"/>
  <c r="L33" i="4"/>
  <c r="L29" i="4"/>
  <c r="M42" i="13"/>
  <c r="AX42" i="13"/>
  <c r="L32" i="4"/>
  <c r="I68" i="8"/>
  <c r="C76" i="11" s="1"/>
  <c r="J68" i="8"/>
  <c r="R32" i="7"/>
  <c r="S32" i="7" s="1"/>
  <c r="T32" i="7"/>
  <c r="M21" i="4"/>
  <c r="N21" i="4" s="1"/>
  <c r="R79" i="6"/>
  <c r="S79" i="6" s="1"/>
  <c r="T79" i="6"/>
  <c r="D21" i="8"/>
  <c r="T16" i="13"/>
  <c r="AK16" i="13"/>
  <c r="R16" i="13"/>
  <c r="V16" i="13"/>
  <c r="N16" i="13"/>
  <c r="O16" i="13" s="1"/>
  <c r="T60" i="7"/>
  <c r="R60" i="7"/>
  <c r="S60" i="7" s="1"/>
  <c r="T43" i="7"/>
  <c r="R43" i="7"/>
  <c r="S43" i="7" s="1"/>
  <c r="F42" i="10"/>
  <c r="Z26" i="6"/>
  <c r="F41" i="10"/>
  <c r="Z25" i="6"/>
  <c r="M36" i="4"/>
  <c r="M29" i="4"/>
  <c r="M39" i="4"/>
  <c r="M38" i="4"/>
  <c r="M28" i="4"/>
  <c r="M30" i="4"/>
  <c r="M37" i="4"/>
  <c r="M34" i="4"/>
  <c r="B55" i="8"/>
  <c r="R59" i="7"/>
  <c r="S59" i="7" s="1"/>
  <c r="T59" i="7"/>
  <c r="W27" i="13"/>
  <c r="AS27" i="13"/>
  <c r="T28" i="7"/>
  <c r="R28" i="7"/>
  <c r="S28" i="7" s="1"/>
  <c r="W47" i="13"/>
  <c r="AS47" i="13"/>
  <c r="R30" i="7"/>
  <c r="S30" i="7" s="1"/>
  <c r="T30" i="7"/>
  <c r="T73" i="6"/>
  <c r="R73" i="6"/>
  <c r="S73" i="6" s="1"/>
  <c r="T32" i="6"/>
  <c r="R32" i="6"/>
  <c r="S32" i="6" s="1"/>
  <c r="V41" i="13"/>
  <c r="T41" i="13"/>
  <c r="AK41" i="13"/>
  <c r="R41" i="13"/>
  <c r="N41" i="13"/>
  <c r="O41" i="13" s="1"/>
  <c r="T30" i="6"/>
  <c r="R30" i="6"/>
  <c r="S30" i="6" s="1"/>
  <c r="F62" i="10"/>
  <c r="Z46" i="6"/>
  <c r="F56" i="10"/>
  <c r="Z40" i="6"/>
  <c r="K37" i="4"/>
  <c r="J71" i="8"/>
  <c r="I71" i="8"/>
  <c r="T23" i="7"/>
  <c r="R23" i="7"/>
  <c r="S23" i="7" s="1"/>
  <c r="T74" i="7"/>
  <c r="R74" i="7"/>
  <c r="S74" i="7" s="1"/>
  <c r="M14" i="4"/>
  <c r="N25" i="13"/>
  <c r="AK25" i="13"/>
  <c r="R25" i="13"/>
  <c r="T25" i="13"/>
  <c r="V25" i="13"/>
  <c r="R67" i="7"/>
  <c r="S67" i="7" s="1"/>
  <c r="F49" i="10"/>
  <c r="Z33" i="6"/>
  <c r="T80" i="7"/>
  <c r="R80" i="7"/>
  <c r="S80" i="7" s="1"/>
  <c r="J63" i="8"/>
  <c r="I63" i="8"/>
  <c r="C71" i="11" s="1"/>
  <c r="D38" i="9"/>
  <c r="F38" i="9" s="1"/>
  <c r="H14" i="11" s="1"/>
  <c r="B89" i="10"/>
  <c r="W85" i="6"/>
  <c r="N15" i="8"/>
  <c r="T45" i="7"/>
  <c r="R45" i="7"/>
  <c r="S45" i="7" s="1"/>
  <c r="B37" i="8"/>
  <c r="B38" i="8"/>
  <c r="R43" i="6"/>
  <c r="S43" i="6" s="1"/>
  <c r="T43" i="6"/>
  <c r="T66" i="6"/>
  <c r="R66" i="6"/>
  <c r="S66" i="6" s="1"/>
  <c r="N31" i="13"/>
  <c r="AK31" i="13"/>
  <c r="V31" i="13"/>
  <c r="T31" i="13"/>
  <c r="R31" i="13"/>
  <c r="N32" i="8"/>
  <c r="AA51" i="7"/>
  <c r="R31" i="6"/>
  <c r="S31" i="6" s="1"/>
  <c r="R59" i="6"/>
  <c r="S59" i="6" s="1"/>
  <c r="T59" i="6"/>
  <c r="T56" i="7"/>
  <c r="R56" i="7"/>
  <c r="S56" i="7" s="1"/>
  <c r="W32" i="13"/>
  <c r="AS32" i="13"/>
  <c r="K35" i="4"/>
  <c r="R76" i="6"/>
  <c r="S76" i="6" s="1"/>
  <c r="T76" i="6"/>
  <c r="R57" i="7"/>
  <c r="S57" i="7" s="1"/>
  <c r="T57" i="7"/>
  <c r="AK28" i="13"/>
  <c r="T28" i="13"/>
  <c r="N28" i="13"/>
  <c r="V28" i="13"/>
  <c r="R28" i="13"/>
  <c r="AA68" i="7"/>
  <c r="J67" i="8"/>
  <c r="I67" i="8"/>
  <c r="C75" i="11" s="1"/>
  <c r="K21" i="8"/>
  <c r="M43" i="13"/>
  <c r="AX43" i="13"/>
  <c r="R25" i="7"/>
  <c r="S25" i="7" s="1"/>
  <c r="T25" i="7"/>
  <c r="M32" i="4"/>
  <c r="C80" i="11"/>
  <c r="C24" i="9"/>
  <c r="W44" i="13"/>
  <c r="AS44" i="13"/>
  <c r="O33" i="13"/>
  <c r="B110" i="10"/>
  <c r="F32" i="10"/>
  <c r="E11" i="11"/>
  <c r="C7" i="9"/>
  <c r="T78" i="6"/>
  <c r="R78" i="6"/>
  <c r="S78" i="6" s="1"/>
  <c r="B109" i="10"/>
  <c r="F31" i="10"/>
  <c r="AA85" i="6"/>
  <c r="B73" i="10"/>
  <c r="W68" i="6"/>
  <c r="G15" i="8"/>
  <c r="F15" i="8"/>
  <c r="E44" i="10"/>
  <c r="C30" i="11"/>
  <c r="T39" i="7"/>
  <c r="R39" i="7"/>
  <c r="S39" i="7" s="1"/>
  <c r="N39" i="13"/>
  <c r="O39" i="13" s="1"/>
  <c r="V39" i="13"/>
  <c r="T39" i="13"/>
  <c r="R39" i="13"/>
  <c r="AK39" i="13"/>
  <c r="Q22" i="4"/>
  <c r="T27" i="6"/>
  <c r="R27" i="6"/>
  <c r="S27" i="6" s="1"/>
  <c r="G32" i="10"/>
  <c r="E12" i="11"/>
  <c r="C8" i="9"/>
  <c r="C110" i="10"/>
  <c r="M11" i="4"/>
  <c r="AD54" i="13"/>
  <c r="Q54" i="13"/>
  <c r="AA54" i="13"/>
  <c r="Z54" i="13"/>
  <c r="D37" i="8"/>
  <c r="H25" i="8"/>
  <c r="E25" i="8"/>
  <c r="M25" i="8"/>
  <c r="T74" i="6"/>
  <c r="R74" i="6"/>
  <c r="S74" i="6" s="1"/>
  <c r="T63" i="6"/>
  <c r="R63" i="6"/>
  <c r="S63" i="6" s="1"/>
  <c r="AX23" i="13"/>
  <c r="AX35" i="13" s="1"/>
  <c r="M23" i="13"/>
  <c r="T75" i="6"/>
  <c r="R75" i="6"/>
  <c r="S75" i="6" s="1"/>
  <c r="F43" i="10"/>
  <c r="Z27" i="6"/>
  <c r="T63" i="7"/>
  <c r="R63" i="7"/>
  <c r="S63" i="7" s="1"/>
  <c r="Q27" i="13"/>
  <c r="Z27" i="13"/>
  <c r="AD27" i="13"/>
  <c r="AA27" i="13"/>
  <c r="T46" i="13"/>
  <c r="R46" i="13"/>
  <c r="N46" i="13"/>
  <c r="O46" i="13" s="1"/>
  <c r="AK46" i="13"/>
  <c r="V46" i="13"/>
  <c r="M31" i="4"/>
  <c r="AK58" i="13"/>
  <c r="T58" i="13"/>
  <c r="R58" i="13"/>
  <c r="V58" i="13"/>
  <c r="N58" i="13"/>
  <c r="O58" i="13" s="1"/>
  <c r="H33" i="8"/>
  <c r="M33" i="8"/>
  <c r="E33" i="8"/>
  <c r="F55" i="8"/>
  <c r="J43" i="8"/>
  <c r="I43" i="8"/>
  <c r="R57" i="13"/>
  <c r="N57" i="13"/>
  <c r="O57" i="13" s="1"/>
  <c r="AK57" i="13"/>
  <c r="V57" i="13"/>
  <c r="T57" i="13"/>
  <c r="T83" i="6"/>
  <c r="R83" i="6"/>
  <c r="S83" i="6" s="1"/>
  <c r="Q47" i="13"/>
  <c r="Z47" i="13"/>
  <c r="AD47" i="13"/>
  <c r="AA47" i="13"/>
  <c r="T65" i="6"/>
  <c r="R65" i="6"/>
  <c r="S65" i="6" s="1"/>
  <c r="J64" i="8"/>
  <c r="I64" i="8"/>
  <c r="C72" i="11" s="1"/>
  <c r="R61" i="13"/>
  <c r="N61" i="13"/>
  <c r="O61" i="13" s="1"/>
  <c r="AK61" i="13"/>
  <c r="T61" i="13"/>
  <c r="V61" i="13"/>
  <c r="V13" i="13"/>
  <c r="AK13" i="13"/>
  <c r="T13" i="13"/>
  <c r="R13" i="13"/>
  <c r="N13" i="13"/>
  <c r="O13" i="13" s="1"/>
  <c r="W53" i="13"/>
  <c r="AS53" i="13"/>
  <c r="K39" i="4"/>
  <c r="K72" i="8"/>
  <c r="D24" i="9"/>
  <c r="F39" i="10"/>
  <c r="Z23" i="6"/>
  <c r="O26" i="13"/>
  <c r="N31" i="4" l="1"/>
  <c r="N17" i="4"/>
  <c r="N18" i="8"/>
  <c r="N18" i="4"/>
  <c r="N9" i="8"/>
  <c r="K68" i="8"/>
  <c r="K45" i="8"/>
  <c r="N19" i="4"/>
  <c r="N15" i="4"/>
  <c r="N20" i="8"/>
  <c r="K52" i="8"/>
  <c r="K22" i="4"/>
  <c r="L22" i="4"/>
  <c r="N20" i="4"/>
  <c r="N11" i="4"/>
  <c r="N16" i="8"/>
  <c r="N27" i="8"/>
  <c r="N14" i="4"/>
  <c r="N12" i="8"/>
  <c r="N10" i="8"/>
  <c r="AX20" i="13"/>
  <c r="AX50" i="13"/>
  <c r="K54" i="8"/>
  <c r="K64" i="8"/>
  <c r="N37" i="4"/>
  <c r="N17" i="8"/>
  <c r="N12" i="4"/>
  <c r="K46" i="8"/>
  <c r="N29" i="4"/>
  <c r="K47" i="8"/>
  <c r="N11" i="8"/>
  <c r="W57" i="13"/>
  <c r="AS57" i="13"/>
  <c r="U58" i="13"/>
  <c r="AR58" i="13"/>
  <c r="AA25" i="13"/>
  <c r="Z25" i="13"/>
  <c r="Q25" i="13"/>
  <c r="AD25" i="13"/>
  <c r="O25" i="13"/>
  <c r="AR16" i="13"/>
  <c r="U16" i="13"/>
  <c r="AD50" i="6"/>
  <c r="AC43" i="6"/>
  <c r="AC50" i="6"/>
  <c r="AD45" i="6"/>
  <c r="AE45" i="6" s="1"/>
  <c r="AD39" i="6"/>
  <c r="AE39" i="6" s="1"/>
  <c r="AC48" i="6"/>
  <c r="AD46" i="6"/>
  <c r="AE46" i="6" s="1"/>
  <c r="AD44" i="6"/>
  <c r="AE44" i="6" s="1"/>
  <c r="AC46" i="6"/>
  <c r="AC44" i="6"/>
  <c r="AD43" i="6"/>
  <c r="AE43" i="6" s="1"/>
  <c r="AC42" i="6"/>
  <c r="AD40" i="6"/>
  <c r="AE40" i="6" s="1"/>
  <c r="AD41" i="6"/>
  <c r="AE41" i="6" s="1"/>
  <c r="AC40" i="6"/>
  <c r="AE48" i="6"/>
  <c r="AC45" i="6"/>
  <c r="AD48" i="6"/>
  <c r="AC49" i="6"/>
  <c r="AE50" i="6"/>
  <c r="AC41" i="6"/>
  <c r="AC39" i="6"/>
  <c r="AD47" i="6"/>
  <c r="AE47" i="6" s="1"/>
  <c r="AE49" i="6"/>
  <c r="AC47" i="6"/>
  <c r="AD42" i="6"/>
  <c r="AE42" i="6" s="1"/>
  <c r="AD49" i="6"/>
  <c r="AA38" i="13"/>
  <c r="Z38" i="13"/>
  <c r="AD38" i="13"/>
  <c r="Q38" i="13"/>
  <c r="S10" i="13"/>
  <c r="C45" i="11"/>
  <c r="E61" i="10"/>
  <c r="G31" i="8"/>
  <c r="F31" i="8"/>
  <c r="C29" i="11"/>
  <c r="E43" i="10"/>
  <c r="G14" i="8"/>
  <c r="F14" i="8"/>
  <c r="C49" i="11"/>
  <c r="F35" i="8"/>
  <c r="E65" i="10"/>
  <c r="G35" i="8"/>
  <c r="T55" i="13"/>
  <c r="R55" i="13"/>
  <c r="N55" i="13"/>
  <c r="O55" i="13" s="1"/>
  <c r="AK55" i="13"/>
  <c r="V55" i="13"/>
  <c r="S18" i="13"/>
  <c r="N39" i="4"/>
  <c r="C54" i="11"/>
  <c r="I55" i="8"/>
  <c r="AR28" i="13"/>
  <c r="U28" i="13"/>
  <c r="K63" i="8"/>
  <c r="AC82" i="6"/>
  <c r="AC79" i="6"/>
  <c r="AC76" i="6"/>
  <c r="AC73" i="6"/>
  <c r="AE83" i="6"/>
  <c r="AD78" i="6"/>
  <c r="AC83" i="6"/>
  <c r="AE81" i="6"/>
  <c r="AC77" i="6"/>
  <c r="AE76" i="6"/>
  <c r="AD81" i="6"/>
  <c r="AD76" i="6"/>
  <c r="AC78" i="6"/>
  <c r="AE74" i="6"/>
  <c r="AD73" i="6"/>
  <c r="AE84" i="6"/>
  <c r="AD80" i="6"/>
  <c r="AD84" i="6"/>
  <c r="AE78" i="6"/>
  <c r="AE73" i="6"/>
  <c r="AD79" i="6"/>
  <c r="AC74" i="6"/>
  <c r="AD77" i="6"/>
  <c r="AD75" i="6"/>
  <c r="AE82" i="6"/>
  <c r="AC75" i="6"/>
  <c r="AD82" i="6"/>
  <c r="AE80" i="6"/>
  <c r="AC80" i="6"/>
  <c r="AF80" i="6" s="1"/>
  <c r="AE77" i="6"/>
  <c r="AC81" i="6"/>
  <c r="AC84" i="6"/>
  <c r="AD83" i="6"/>
  <c r="AE75" i="6"/>
  <c r="AE79" i="6"/>
  <c r="AD74" i="6"/>
  <c r="AK42" i="13"/>
  <c r="T42" i="13"/>
  <c r="N42" i="13"/>
  <c r="V42" i="13"/>
  <c r="R42" i="13"/>
  <c r="AD84" i="7"/>
  <c r="AC83" i="7"/>
  <c r="AC84" i="7"/>
  <c r="AD75" i="7"/>
  <c r="AC75" i="7"/>
  <c r="AE77" i="7"/>
  <c r="AD76" i="7"/>
  <c r="AE78" i="7"/>
  <c r="AD77" i="7"/>
  <c r="AC76" i="7"/>
  <c r="AD82" i="7"/>
  <c r="AC82" i="7"/>
  <c r="AC77" i="7"/>
  <c r="AE83" i="7"/>
  <c r="AD83" i="7"/>
  <c r="AE76" i="7"/>
  <c r="AE84" i="7"/>
  <c r="AE80" i="7"/>
  <c r="AE79" i="7"/>
  <c r="AC80" i="7"/>
  <c r="AD74" i="7"/>
  <c r="AD78" i="7"/>
  <c r="AC74" i="7"/>
  <c r="AC78" i="7"/>
  <c r="AE75" i="7"/>
  <c r="AE82" i="7"/>
  <c r="AD79" i="7"/>
  <c r="AE73" i="7"/>
  <c r="AD73" i="7"/>
  <c r="AC73" i="7"/>
  <c r="AE74" i="7"/>
  <c r="AE81" i="7"/>
  <c r="AD81" i="7"/>
  <c r="AC79" i="7"/>
  <c r="AC81" i="7"/>
  <c r="AD80" i="7"/>
  <c r="Q24" i="13"/>
  <c r="AA24" i="13"/>
  <c r="Z24" i="13"/>
  <c r="AD24" i="13"/>
  <c r="O24" i="13"/>
  <c r="K65" i="8"/>
  <c r="E10" i="9"/>
  <c r="D10" i="9"/>
  <c r="N31" i="8"/>
  <c r="AS59" i="13"/>
  <c r="W59" i="13"/>
  <c r="E57" i="10"/>
  <c r="G27" i="8"/>
  <c r="C41" i="11"/>
  <c r="F27" i="8"/>
  <c r="N34" i="8"/>
  <c r="AX65" i="13"/>
  <c r="K53" i="8"/>
  <c r="AS61" i="13"/>
  <c r="W61" i="13"/>
  <c r="AS39" i="13"/>
  <c r="W39" i="13"/>
  <c r="N33" i="4"/>
  <c r="O33" i="4" s="1"/>
  <c r="P33" i="4" s="1"/>
  <c r="U59" i="13"/>
  <c r="AR59" i="13"/>
  <c r="AR62" i="13"/>
  <c r="U62" i="13"/>
  <c r="R60" i="13"/>
  <c r="N60" i="13"/>
  <c r="V60" i="13"/>
  <c r="T60" i="13"/>
  <c r="AK60" i="13"/>
  <c r="AA26" i="13"/>
  <c r="Z26" i="13"/>
  <c r="Q26" i="13"/>
  <c r="AD26" i="13"/>
  <c r="N35" i="8"/>
  <c r="C48" i="11"/>
  <c r="G34" i="8"/>
  <c r="E64" i="10"/>
  <c r="F34" i="8"/>
  <c r="AM8" i="13"/>
  <c r="O42" i="13"/>
  <c r="W13" i="13"/>
  <c r="AS13" i="13"/>
  <c r="W28" i="13"/>
  <c r="AS28" i="13"/>
  <c r="AD31" i="13"/>
  <c r="Q31" i="13"/>
  <c r="Z31" i="13"/>
  <c r="AA31" i="13"/>
  <c r="AR39" i="13"/>
  <c r="U39" i="13"/>
  <c r="Q28" i="13"/>
  <c r="AA28" i="13"/>
  <c r="AD28" i="13"/>
  <c r="Z28" i="13"/>
  <c r="O28" i="13"/>
  <c r="E9" i="9"/>
  <c r="D9" i="9"/>
  <c r="U61" i="13"/>
  <c r="AR61" i="13"/>
  <c r="J55" i="8"/>
  <c r="E16" i="9" s="1"/>
  <c r="K43" i="8"/>
  <c r="S27" i="13"/>
  <c r="S47" i="13"/>
  <c r="N25" i="8"/>
  <c r="M37" i="8"/>
  <c r="E15" i="9" s="1"/>
  <c r="Z39" i="13"/>
  <c r="AD39" i="13"/>
  <c r="Q39" i="13"/>
  <c r="AA39" i="13"/>
  <c r="R43" i="13"/>
  <c r="AM39" i="13" s="1"/>
  <c r="N43" i="13"/>
  <c r="O43" i="13" s="1"/>
  <c r="AK43" i="13"/>
  <c r="V43" i="13"/>
  <c r="T43" i="13"/>
  <c r="G30" i="10"/>
  <c r="E8" i="9"/>
  <c r="D8" i="9"/>
  <c r="C108" i="10"/>
  <c r="N30" i="4"/>
  <c r="W9" i="13"/>
  <c r="AS9" i="13"/>
  <c r="AR24" i="13"/>
  <c r="U24" i="13"/>
  <c r="Q12" i="13"/>
  <c r="AA12" i="13"/>
  <c r="Z12" i="13"/>
  <c r="AD12" i="13"/>
  <c r="C69" i="11"/>
  <c r="I73" i="8"/>
  <c r="AC66" i="6"/>
  <c r="AC63" i="6"/>
  <c r="AC60" i="6"/>
  <c r="AD67" i="6"/>
  <c r="AC62" i="6"/>
  <c r="AD57" i="6"/>
  <c r="AC67" i="6"/>
  <c r="AE66" i="6"/>
  <c r="AE61" i="6"/>
  <c r="AC57" i="6"/>
  <c r="AC61" i="6"/>
  <c r="AC59" i="6"/>
  <c r="AD58" i="6"/>
  <c r="AC56" i="6"/>
  <c r="AC65" i="6"/>
  <c r="AE56" i="6"/>
  <c r="AE58" i="6"/>
  <c r="AE67" i="6"/>
  <c r="AE59" i="6"/>
  <c r="AC58" i="6"/>
  <c r="AD63" i="6"/>
  <c r="AE60" i="6"/>
  <c r="AE64" i="6"/>
  <c r="AD60" i="6"/>
  <c r="AE65" i="6"/>
  <c r="AD64" i="6"/>
  <c r="AD61" i="6"/>
  <c r="AD56" i="6"/>
  <c r="AD66" i="6"/>
  <c r="AE63" i="6"/>
  <c r="AE57" i="6"/>
  <c r="AD59" i="6"/>
  <c r="AE62" i="6"/>
  <c r="AD65" i="6"/>
  <c r="AD62" i="6"/>
  <c r="AC64" i="6"/>
  <c r="S34" i="13"/>
  <c r="AM26" i="13"/>
  <c r="W62" i="13"/>
  <c r="AS62" i="13"/>
  <c r="S48" i="13"/>
  <c r="C27" i="11"/>
  <c r="E41" i="10"/>
  <c r="G12" i="8"/>
  <c r="F12" i="8"/>
  <c r="AS8" i="13"/>
  <c r="W8" i="13"/>
  <c r="O31" i="13"/>
  <c r="U9" i="13"/>
  <c r="AR9" i="13"/>
  <c r="AS24" i="13"/>
  <c r="W24" i="13"/>
  <c r="Z62" i="13"/>
  <c r="AD62" i="13"/>
  <c r="AA62" i="13"/>
  <c r="Q62" i="13"/>
  <c r="O62" i="13"/>
  <c r="U15" i="13"/>
  <c r="AR15" i="13"/>
  <c r="B108" i="10"/>
  <c r="E7" i="9"/>
  <c r="D7" i="9"/>
  <c r="F30" i="10"/>
  <c r="N38" i="4"/>
  <c r="O38" i="4" s="1"/>
  <c r="P38" i="4" s="1"/>
  <c r="AK17" i="13"/>
  <c r="R17" i="13"/>
  <c r="N17" i="13"/>
  <c r="V17" i="13"/>
  <c r="T17" i="13"/>
  <c r="E56" i="10"/>
  <c r="G26" i="8"/>
  <c r="F26" i="8"/>
  <c r="C40" i="11"/>
  <c r="K62" i="10"/>
  <c r="K61" i="8"/>
  <c r="J73" i="8"/>
  <c r="E17" i="9" s="1"/>
  <c r="Q13" i="13"/>
  <c r="AA13" i="13"/>
  <c r="Z13" i="13"/>
  <c r="AD13" i="13"/>
  <c r="AD61" i="13"/>
  <c r="Q61" i="13"/>
  <c r="AA61" i="13"/>
  <c r="Z61" i="13"/>
  <c r="N33" i="8"/>
  <c r="AC50" i="7"/>
  <c r="AC44" i="7"/>
  <c r="AD45" i="7"/>
  <c r="AE45" i="7" s="1"/>
  <c r="AD46" i="7"/>
  <c r="AE46" i="7" s="1"/>
  <c r="AD41" i="7"/>
  <c r="AE41" i="7" s="1"/>
  <c r="AC46" i="7"/>
  <c r="AC41" i="7"/>
  <c r="AC39" i="7"/>
  <c r="AD50" i="7"/>
  <c r="AE49" i="7"/>
  <c r="AD44" i="7"/>
  <c r="AE44" i="7" s="1"/>
  <c r="AD49" i="7"/>
  <c r="AE48" i="7"/>
  <c r="AC49" i="7"/>
  <c r="AD48" i="7"/>
  <c r="AC43" i="7"/>
  <c r="AD42" i="7"/>
  <c r="AE42" i="7" s="1"/>
  <c r="AC48" i="7"/>
  <c r="AC42" i="7"/>
  <c r="AD47" i="7"/>
  <c r="AE47" i="7" s="1"/>
  <c r="AC47" i="7"/>
  <c r="AC45" i="7"/>
  <c r="AD43" i="7"/>
  <c r="AE43" i="7" s="1"/>
  <c r="AD39" i="7"/>
  <c r="AE39" i="7" s="1"/>
  <c r="AD40" i="7"/>
  <c r="AE40" i="7" s="1"/>
  <c r="AE50" i="7"/>
  <c r="AC40" i="7"/>
  <c r="N36" i="4"/>
  <c r="O36" i="4" s="1"/>
  <c r="P36" i="4" s="1"/>
  <c r="W12" i="13"/>
  <c r="AS12" i="13"/>
  <c r="C43" i="11"/>
  <c r="E59" i="10"/>
  <c r="G29" i="8"/>
  <c r="F29" i="8"/>
  <c r="K44" i="8"/>
  <c r="E58" i="10"/>
  <c r="C42" i="11"/>
  <c r="G28" i="8"/>
  <c r="F28" i="8"/>
  <c r="U46" i="13"/>
  <c r="AR46" i="13"/>
  <c r="E63" i="10"/>
  <c r="F33" i="8"/>
  <c r="G33" i="8"/>
  <c r="C47" i="11"/>
  <c r="W46" i="13"/>
  <c r="AS46" i="13"/>
  <c r="C39" i="11"/>
  <c r="E55" i="10"/>
  <c r="G25" i="8"/>
  <c r="F25" i="8"/>
  <c r="E37" i="8"/>
  <c r="Q41" i="13"/>
  <c r="AD41" i="13"/>
  <c r="AA41" i="13"/>
  <c r="Z41" i="13"/>
  <c r="M40" i="4"/>
  <c r="C32" i="11"/>
  <c r="E46" i="10"/>
  <c r="G17" i="8"/>
  <c r="F17" i="8"/>
  <c r="O15" i="4"/>
  <c r="P15" i="4" s="1"/>
  <c r="O20" i="4"/>
  <c r="P20" i="4" s="1"/>
  <c r="O19" i="4"/>
  <c r="P19" i="4" s="1"/>
  <c r="O11" i="4"/>
  <c r="P11" i="4" s="1"/>
  <c r="O12" i="4"/>
  <c r="P12" i="4" s="1"/>
  <c r="O14" i="4"/>
  <c r="P14" i="4" s="1"/>
  <c r="O17" i="4"/>
  <c r="P17" i="4" s="1"/>
  <c r="O16" i="4"/>
  <c r="P16" i="4" s="1"/>
  <c r="O18" i="4"/>
  <c r="P18" i="4" s="1"/>
  <c r="O21" i="4"/>
  <c r="P21" i="4" s="1"/>
  <c r="O13" i="4"/>
  <c r="P13" i="4" s="1"/>
  <c r="W15" i="13"/>
  <c r="AS15" i="13"/>
  <c r="N26" i="8"/>
  <c r="AS11" i="13"/>
  <c r="W11" i="13"/>
  <c r="AR13" i="13"/>
  <c r="U13" i="13"/>
  <c r="AS58" i="13"/>
  <c r="W58" i="13"/>
  <c r="R23" i="13"/>
  <c r="AK23" i="13"/>
  <c r="N23" i="13"/>
  <c r="O23" i="13" s="1"/>
  <c r="V23" i="13"/>
  <c r="T23" i="13"/>
  <c r="AR25" i="13"/>
  <c r="U25" i="13"/>
  <c r="AA46" i="13"/>
  <c r="Q46" i="13"/>
  <c r="AF40" i="13" s="1"/>
  <c r="AD46" i="13"/>
  <c r="Z46" i="13"/>
  <c r="U31" i="13"/>
  <c r="AR31" i="13"/>
  <c r="C79" i="11"/>
  <c r="C23" i="9"/>
  <c r="K69" i="8"/>
  <c r="K40" i="4"/>
  <c r="N28" i="4"/>
  <c r="O28" i="4" s="1"/>
  <c r="C26" i="11"/>
  <c r="E40" i="10"/>
  <c r="G11" i="8"/>
  <c r="F11" i="8"/>
  <c r="U12" i="13"/>
  <c r="AR12" i="13"/>
  <c r="M22" i="4"/>
  <c r="Q19" i="13"/>
  <c r="AA19" i="13"/>
  <c r="Z19" i="13"/>
  <c r="AD19" i="13"/>
  <c r="V14" i="13"/>
  <c r="T14" i="13"/>
  <c r="R14" i="13"/>
  <c r="AO9" i="13" s="1"/>
  <c r="N14" i="13"/>
  <c r="O14" i="13" s="1"/>
  <c r="AK14" i="13"/>
  <c r="AD8" i="13"/>
  <c r="Z8" i="13"/>
  <c r="Q8" i="13"/>
  <c r="AA8" i="13"/>
  <c r="U57" i="13"/>
  <c r="AR57" i="13"/>
  <c r="AD58" i="13"/>
  <c r="Q58" i="13"/>
  <c r="AA58" i="13"/>
  <c r="Z58" i="13"/>
  <c r="K67" i="8"/>
  <c r="N35" i="4"/>
  <c r="O35" i="4" s="1"/>
  <c r="P35" i="4" s="1"/>
  <c r="W31" i="13"/>
  <c r="AS31" i="13"/>
  <c r="D23" i="9"/>
  <c r="K71" i="8"/>
  <c r="U41" i="13"/>
  <c r="AR41" i="13"/>
  <c r="AD16" i="13"/>
  <c r="Q16" i="13"/>
  <c r="AA16" i="13"/>
  <c r="Z16" i="13"/>
  <c r="M21" i="8"/>
  <c r="E14" i="9" s="1"/>
  <c r="AM38" i="13"/>
  <c r="N34" i="4"/>
  <c r="O34" i="4" s="1"/>
  <c r="P34" i="4" s="1"/>
  <c r="AM40" i="13"/>
  <c r="E45" i="10"/>
  <c r="C31" i="11"/>
  <c r="G16" i="8"/>
  <c r="F16" i="8"/>
  <c r="C78" i="11"/>
  <c r="C22" i="9"/>
  <c r="N29" i="8"/>
  <c r="Z51" i="6"/>
  <c r="AK63" i="13"/>
  <c r="R63" i="13"/>
  <c r="N63" i="13"/>
  <c r="V63" i="13"/>
  <c r="T63" i="13"/>
  <c r="K50" i="8"/>
  <c r="AA15" i="13"/>
  <c r="Z15" i="13"/>
  <c r="AD15" i="13"/>
  <c r="Q15" i="13"/>
  <c r="N28" i="8"/>
  <c r="AR56" i="13"/>
  <c r="U56" i="13"/>
  <c r="N13" i="8"/>
  <c r="L40" i="4"/>
  <c r="U8" i="13"/>
  <c r="AR8" i="13"/>
  <c r="E39" i="10"/>
  <c r="C25" i="11"/>
  <c r="G10" i="8"/>
  <c r="F10" i="8"/>
  <c r="K44" i="10"/>
  <c r="AS25" i="13"/>
  <c r="W25" i="13"/>
  <c r="AS41" i="13"/>
  <c r="W41" i="13"/>
  <c r="W16" i="13"/>
  <c r="AS16" i="13"/>
  <c r="AR38" i="13"/>
  <c r="U38" i="13"/>
  <c r="AR33" i="13"/>
  <c r="U33" i="13"/>
  <c r="O29" i="4"/>
  <c r="P29" i="4" s="1"/>
  <c r="O39" i="4"/>
  <c r="P39" i="4" s="1"/>
  <c r="O31" i="4"/>
  <c r="P31" i="4" s="1"/>
  <c r="O37" i="4"/>
  <c r="P37" i="4" s="1"/>
  <c r="O30" i="4"/>
  <c r="P30" i="4" s="1"/>
  <c r="AD29" i="6"/>
  <c r="AE24" i="6"/>
  <c r="AC22" i="6"/>
  <c r="AE31" i="6"/>
  <c r="AC29" i="6"/>
  <c r="AD24" i="6"/>
  <c r="AC28" i="6"/>
  <c r="AE27" i="6"/>
  <c r="AE26" i="6"/>
  <c r="AC33" i="6"/>
  <c r="AC25" i="6"/>
  <c r="AE23" i="6"/>
  <c r="AE32" i="6"/>
  <c r="AD31" i="6"/>
  <c r="AD23" i="6"/>
  <c r="AE22" i="6"/>
  <c r="AC32" i="6"/>
  <c r="AE30" i="6"/>
  <c r="AD30" i="6"/>
  <c r="AE29" i="6"/>
  <c r="AC30" i="6"/>
  <c r="AE28" i="6"/>
  <c r="AD33" i="6"/>
  <c r="AC24" i="6"/>
  <c r="AD22" i="6"/>
  <c r="AE33" i="6"/>
  <c r="AD26" i="6"/>
  <c r="AD28" i="6"/>
  <c r="AC26" i="6"/>
  <c r="AD32" i="6"/>
  <c r="AD25" i="6"/>
  <c r="AC31" i="6"/>
  <c r="AC23" i="6"/>
  <c r="AE25" i="6"/>
  <c r="AC27" i="6"/>
  <c r="AD27" i="6"/>
  <c r="D22" i="9"/>
  <c r="K70" i="8"/>
  <c r="F67" i="10"/>
  <c r="C33" i="11"/>
  <c r="E47" i="10"/>
  <c r="G18" i="8"/>
  <c r="F18" i="8"/>
  <c r="AD11" i="13"/>
  <c r="Q11" i="13"/>
  <c r="AA11" i="13"/>
  <c r="Z11" i="13"/>
  <c r="U40" i="13"/>
  <c r="AR40" i="13"/>
  <c r="C28" i="11"/>
  <c r="F13" i="8"/>
  <c r="E42" i="10"/>
  <c r="G13" i="8"/>
  <c r="AE32" i="7"/>
  <c r="AE28" i="7"/>
  <c r="AD32" i="7"/>
  <c r="AE31" i="7"/>
  <c r="AD27" i="7"/>
  <c r="AE25" i="7"/>
  <c r="AC22" i="7"/>
  <c r="AC31" i="7"/>
  <c r="AC25" i="7"/>
  <c r="AD33" i="7"/>
  <c r="AE30" i="7"/>
  <c r="AD28" i="7"/>
  <c r="AD23" i="7"/>
  <c r="AC33" i="7"/>
  <c r="AD30" i="7"/>
  <c r="AC28" i="7"/>
  <c r="AE26" i="7"/>
  <c r="AC23" i="7"/>
  <c r="AE33" i="7"/>
  <c r="AC26" i="7"/>
  <c r="AE24" i="7"/>
  <c r="AE29" i="7"/>
  <c r="AE27" i="7"/>
  <c r="AD25" i="7"/>
  <c r="AC29" i="7"/>
  <c r="AD22" i="7"/>
  <c r="AE23" i="7"/>
  <c r="AD26" i="7"/>
  <c r="AC27" i="7"/>
  <c r="AD24" i="7"/>
  <c r="AC24" i="7"/>
  <c r="AC30" i="7"/>
  <c r="AD29" i="7"/>
  <c r="AC32" i="7"/>
  <c r="AD31" i="7"/>
  <c r="AE22" i="7"/>
  <c r="N32" i="4"/>
  <c r="O32" i="4" s="1"/>
  <c r="P32" i="4" s="1"/>
  <c r="W33" i="13"/>
  <c r="AS33" i="13"/>
  <c r="C24" i="11"/>
  <c r="G9" i="8"/>
  <c r="F9" i="8"/>
  <c r="E38" i="10"/>
  <c r="E21" i="8"/>
  <c r="R49" i="13"/>
  <c r="N49" i="13"/>
  <c r="V49" i="13"/>
  <c r="T49" i="13"/>
  <c r="AK49" i="13"/>
  <c r="AM37" i="13" s="1"/>
  <c r="V29" i="13"/>
  <c r="AK29" i="13"/>
  <c r="T29" i="13"/>
  <c r="R29" i="13"/>
  <c r="N29" i="13"/>
  <c r="Z34" i="6"/>
  <c r="AD56" i="13"/>
  <c r="AA56" i="13"/>
  <c r="Z56" i="13"/>
  <c r="Q56" i="13"/>
  <c r="U11" i="13"/>
  <c r="AR11" i="13"/>
  <c r="O8" i="13"/>
  <c r="S32" i="13"/>
  <c r="AM24" i="13"/>
  <c r="AS40" i="13"/>
  <c r="W40" i="13"/>
  <c r="K48" i="10"/>
  <c r="AR30" i="13"/>
  <c r="U30" i="13"/>
  <c r="K66" i="10"/>
  <c r="AS38" i="13"/>
  <c r="W38" i="13"/>
  <c r="N14" i="8"/>
  <c r="AM54" i="13"/>
  <c r="AR26" i="13"/>
  <c r="U26" i="13"/>
  <c r="AD40" i="13"/>
  <c r="Q40" i="13"/>
  <c r="AA40" i="13"/>
  <c r="Z40" i="13"/>
  <c r="U19" i="13"/>
  <c r="AR19" i="13"/>
  <c r="AS30" i="13"/>
  <c r="W30" i="13"/>
  <c r="C44" i="11"/>
  <c r="E60" i="10"/>
  <c r="G30" i="8"/>
  <c r="F30" i="8"/>
  <c r="AD57" i="13"/>
  <c r="Q57" i="13"/>
  <c r="AA57" i="13"/>
  <c r="Z57" i="13"/>
  <c r="S54" i="13"/>
  <c r="AE62" i="7"/>
  <c r="AD61" i="7"/>
  <c r="AC60" i="7"/>
  <c r="AE63" i="7"/>
  <c r="AD62" i="7"/>
  <c r="AC61" i="7"/>
  <c r="AD56" i="7"/>
  <c r="AC67" i="7"/>
  <c r="AD66" i="7"/>
  <c r="AC66" i="7"/>
  <c r="AE65" i="7"/>
  <c r="AD65" i="7"/>
  <c r="AE61" i="7"/>
  <c r="AC63" i="7"/>
  <c r="AE59" i="7"/>
  <c r="AE67" i="7"/>
  <c r="AD59" i="7"/>
  <c r="AD67" i="7"/>
  <c r="AC56" i="7"/>
  <c r="AE58" i="7"/>
  <c r="AE60" i="7"/>
  <c r="AE66" i="7"/>
  <c r="AE57" i="7"/>
  <c r="AE56" i="7"/>
  <c r="AD57" i="7"/>
  <c r="AD63" i="7"/>
  <c r="AC57" i="7"/>
  <c r="AC65" i="7"/>
  <c r="AD60" i="7"/>
  <c r="AD64" i="7"/>
  <c r="AC59" i="7"/>
  <c r="AC64" i="7"/>
  <c r="AD58" i="7"/>
  <c r="AC58" i="7"/>
  <c r="AE64" i="7"/>
  <c r="AC62" i="7"/>
  <c r="AA33" i="13"/>
  <c r="Z33" i="13"/>
  <c r="AD33" i="13"/>
  <c r="Q33" i="13"/>
  <c r="Q9" i="13"/>
  <c r="AD9" i="13"/>
  <c r="AA9" i="13"/>
  <c r="Z9" i="13"/>
  <c r="O9" i="13"/>
  <c r="S53" i="13"/>
  <c r="N10" i="4"/>
  <c r="O11" i="13"/>
  <c r="AA59" i="13"/>
  <c r="AD59" i="13"/>
  <c r="Z59" i="13"/>
  <c r="Q59" i="13"/>
  <c r="F50" i="10"/>
  <c r="K49" i="8"/>
  <c r="AS56" i="13"/>
  <c r="W56" i="13"/>
  <c r="AM9" i="13"/>
  <c r="AS26" i="13"/>
  <c r="W26" i="13"/>
  <c r="W19" i="13"/>
  <c r="AS19" i="13"/>
  <c r="Z30" i="13"/>
  <c r="Q30" i="13"/>
  <c r="AD30" i="13"/>
  <c r="AA30" i="13"/>
  <c r="S44" i="13"/>
  <c r="E49" i="10"/>
  <c r="C35" i="11"/>
  <c r="G20" i="8"/>
  <c r="F20" i="8"/>
  <c r="AF74" i="6" l="1"/>
  <c r="N22" i="4"/>
  <c r="AF45" i="6"/>
  <c r="AF29" i="6"/>
  <c r="F7" i="9"/>
  <c r="AO38" i="13"/>
  <c r="AF44" i="6"/>
  <c r="AM7" i="13"/>
  <c r="AF41" i="6"/>
  <c r="AF50" i="6"/>
  <c r="F9" i="9"/>
  <c r="AF24" i="6"/>
  <c r="AF25" i="6"/>
  <c r="AF66" i="6"/>
  <c r="AF43" i="6"/>
  <c r="AF64" i="6"/>
  <c r="AF59" i="6"/>
  <c r="F8" i="9"/>
  <c r="AF42" i="6"/>
  <c r="AF23" i="6"/>
  <c r="AF30" i="6"/>
  <c r="AF61" i="6"/>
  <c r="F10" i="9"/>
  <c r="AF78" i="6"/>
  <c r="AF82" i="6"/>
  <c r="AF39" i="6"/>
  <c r="AO40" i="13"/>
  <c r="AQ40" i="13" s="1"/>
  <c r="AO39" i="13"/>
  <c r="AQ39" i="13" s="1"/>
  <c r="AO10" i="13"/>
  <c r="AF46" i="6"/>
  <c r="AF26" i="6"/>
  <c r="AF32" i="6"/>
  <c r="AF77" i="6"/>
  <c r="AF49" i="6"/>
  <c r="D59" i="10"/>
  <c r="T32" i="4"/>
  <c r="D65" i="10"/>
  <c r="T38" i="4"/>
  <c r="AA17" i="13"/>
  <c r="Z17" i="13"/>
  <c r="Q17" i="13"/>
  <c r="AD17" i="13"/>
  <c r="O17" i="13"/>
  <c r="U65" i="7"/>
  <c r="AF65" i="7"/>
  <c r="AD49" i="13"/>
  <c r="AA49" i="13"/>
  <c r="Z49" i="13"/>
  <c r="Q49" i="13"/>
  <c r="K49" i="10"/>
  <c r="K60" i="10"/>
  <c r="AD29" i="13"/>
  <c r="AA29" i="13"/>
  <c r="Z29" i="13"/>
  <c r="Q29" i="13"/>
  <c r="K38" i="10"/>
  <c r="E50" i="10"/>
  <c r="U30" i="7"/>
  <c r="V30" i="7" s="1"/>
  <c r="W30" i="7" s="1"/>
  <c r="AF30" i="7"/>
  <c r="AF26" i="7"/>
  <c r="U26" i="7"/>
  <c r="V26" i="7" s="1"/>
  <c r="W26" i="7" s="1"/>
  <c r="U31" i="7"/>
  <c r="AF31" i="7"/>
  <c r="K47" i="10"/>
  <c r="K40" i="10"/>
  <c r="S46" i="13"/>
  <c r="R35" i="13"/>
  <c r="AY23" i="13" s="1"/>
  <c r="AO25" i="13"/>
  <c r="AO24" i="13"/>
  <c r="AQ24" i="13" s="1"/>
  <c r="AO26" i="13"/>
  <c r="AQ26" i="13" s="1"/>
  <c r="AO23" i="13"/>
  <c r="AM23" i="13"/>
  <c r="D43" i="10"/>
  <c r="T15" i="4"/>
  <c r="G12" i="11"/>
  <c r="D15" i="9"/>
  <c r="K56" i="10"/>
  <c r="AF67" i="6"/>
  <c r="AR43" i="13"/>
  <c r="U43" i="13"/>
  <c r="S28" i="13"/>
  <c r="AF77" i="7"/>
  <c r="U77" i="7"/>
  <c r="AF81" i="6"/>
  <c r="AF83" i="6"/>
  <c r="AF78" i="7"/>
  <c r="U78" i="7"/>
  <c r="U82" i="7"/>
  <c r="AF82" i="7"/>
  <c r="AF47" i="6"/>
  <c r="S9" i="13"/>
  <c r="U49" i="13"/>
  <c r="AR49" i="13"/>
  <c r="U24" i="7"/>
  <c r="V24" i="7" s="1"/>
  <c r="W24" i="7" s="1"/>
  <c r="AF24" i="7"/>
  <c r="AR29" i="13"/>
  <c r="U29" i="13"/>
  <c r="AF23" i="7"/>
  <c r="U23" i="7"/>
  <c r="V23" i="7" s="1"/>
  <c r="W23" i="7" s="1"/>
  <c r="P28" i="4"/>
  <c r="O40" i="4"/>
  <c r="W63" i="13"/>
  <c r="AS63" i="13"/>
  <c r="K45" i="10"/>
  <c r="AF8" i="13"/>
  <c r="S8" i="13"/>
  <c r="N40" i="4"/>
  <c r="D49" i="10"/>
  <c r="T21" i="4"/>
  <c r="AF62" i="6"/>
  <c r="R20" i="13"/>
  <c r="AY17" i="13" s="1"/>
  <c r="U81" i="7"/>
  <c r="AF81" i="7"/>
  <c r="U74" i="7"/>
  <c r="AF74" i="7"/>
  <c r="AS42" i="13"/>
  <c r="W42" i="13"/>
  <c r="AF40" i="6"/>
  <c r="AF48" i="6"/>
  <c r="S25" i="13"/>
  <c r="AF56" i="7"/>
  <c r="U56" i="7"/>
  <c r="D60" i="10"/>
  <c r="T33" i="4"/>
  <c r="AM25" i="13"/>
  <c r="AF22" i="7"/>
  <c r="U22" i="7"/>
  <c r="V22" i="7" s="1"/>
  <c r="W22" i="7" s="1"/>
  <c r="D41" i="10"/>
  <c r="T13" i="4"/>
  <c r="U49" i="7"/>
  <c r="V49" i="7" s="1"/>
  <c r="W49" i="7" s="1"/>
  <c r="AF49" i="7"/>
  <c r="U66" i="7"/>
  <c r="AF66" i="7"/>
  <c r="U27" i="7"/>
  <c r="V27" i="7" s="1"/>
  <c r="W27" i="7" s="1"/>
  <c r="AF27" i="7"/>
  <c r="AF22" i="6"/>
  <c r="D56" i="10"/>
  <c r="T29" i="4"/>
  <c r="AA63" i="13"/>
  <c r="Q63" i="13"/>
  <c r="AF56" i="13" s="1"/>
  <c r="AD63" i="13"/>
  <c r="Z63" i="13"/>
  <c r="O63" i="13"/>
  <c r="D46" i="10"/>
  <c r="T18" i="4"/>
  <c r="K46" i="10"/>
  <c r="K55" i="10"/>
  <c r="E67" i="10"/>
  <c r="AF45" i="7"/>
  <c r="U45" i="7"/>
  <c r="V45" i="7" s="1"/>
  <c r="W45" i="7" s="1"/>
  <c r="AF44" i="7"/>
  <c r="U44" i="7"/>
  <c r="V44" i="7" s="1"/>
  <c r="W44" i="7" s="1"/>
  <c r="U17" i="13"/>
  <c r="AR17" i="13"/>
  <c r="AQ8" i="13"/>
  <c r="U79" i="7"/>
  <c r="AF79" i="7"/>
  <c r="AF76" i="7"/>
  <c r="U76" i="7"/>
  <c r="AF73" i="6"/>
  <c r="W55" i="13"/>
  <c r="AS55" i="13"/>
  <c r="K43" i="10"/>
  <c r="U40" i="7"/>
  <c r="V40" i="7" s="1"/>
  <c r="W40" i="7" s="1"/>
  <c r="AF40" i="7"/>
  <c r="S59" i="13"/>
  <c r="AF62" i="7"/>
  <c r="U62" i="7"/>
  <c r="D66" i="10"/>
  <c r="T39" i="4"/>
  <c r="AR63" i="13"/>
  <c r="U63" i="13"/>
  <c r="S12" i="13"/>
  <c r="AS43" i="13"/>
  <c r="W43" i="13"/>
  <c r="AQ9" i="13"/>
  <c r="U58" i="7"/>
  <c r="AF58" i="7"/>
  <c r="S56" i="13"/>
  <c r="AF54" i="13"/>
  <c r="AS29" i="13"/>
  <c r="W29" i="13"/>
  <c r="U28" i="7"/>
  <c r="V28" i="7" s="1"/>
  <c r="W28" i="7" s="1"/>
  <c r="AF28" i="7"/>
  <c r="D44" i="10"/>
  <c r="T16" i="4"/>
  <c r="S13" i="13"/>
  <c r="AS17" i="13"/>
  <c r="W17" i="13"/>
  <c r="AF65" i="6"/>
  <c r="AF60" i="6"/>
  <c r="AD43" i="13"/>
  <c r="Z43" i="13"/>
  <c r="AA43" i="13"/>
  <c r="Q43" i="13"/>
  <c r="AO8" i="13"/>
  <c r="S26" i="13"/>
  <c r="AF24" i="13"/>
  <c r="AA42" i="13"/>
  <c r="Q42" i="13"/>
  <c r="AD42" i="13"/>
  <c r="Z42" i="13"/>
  <c r="AF76" i="6"/>
  <c r="U64" i="7"/>
  <c r="AF64" i="7"/>
  <c r="U67" i="7"/>
  <c r="AF67" i="7"/>
  <c r="D61" i="10"/>
  <c r="T34" i="4"/>
  <c r="S16" i="13"/>
  <c r="S19" i="13"/>
  <c r="D45" i="10"/>
  <c r="T17" i="4"/>
  <c r="AF47" i="7"/>
  <c r="U47" i="7"/>
  <c r="V47" i="7" s="1"/>
  <c r="W47" i="7" s="1"/>
  <c r="AF50" i="7"/>
  <c r="U50" i="7"/>
  <c r="V50" i="7" s="1"/>
  <c r="W50" i="7" s="1"/>
  <c r="AF56" i="6"/>
  <c r="AF63" i="6"/>
  <c r="AO11" i="13"/>
  <c r="U80" i="7"/>
  <c r="AF80" i="7"/>
  <c r="AR42" i="13"/>
  <c r="U42" i="13"/>
  <c r="AF75" i="6"/>
  <c r="AF79" i="6"/>
  <c r="AM52" i="13"/>
  <c r="AM56" i="13"/>
  <c r="AF38" i="13"/>
  <c r="S38" i="13"/>
  <c r="Q55" i="13"/>
  <c r="AA55" i="13"/>
  <c r="AD55" i="13"/>
  <c r="Z55" i="13"/>
  <c r="S33" i="13"/>
  <c r="AF61" i="7"/>
  <c r="U61" i="7"/>
  <c r="S57" i="13"/>
  <c r="W49" i="13"/>
  <c r="AS49" i="13"/>
  <c r="U29" i="7"/>
  <c r="V29" i="7" s="1"/>
  <c r="W29" i="7" s="1"/>
  <c r="AF29" i="7"/>
  <c r="AF27" i="6"/>
  <c r="D57" i="10"/>
  <c r="T30" i="4"/>
  <c r="S15" i="13"/>
  <c r="AR23" i="13"/>
  <c r="U23" i="13"/>
  <c r="D40" i="10"/>
  <c r="T12" i="4"/>
  <c r="AM11" i="13"/>
  <c r="S62" i="13"/>
  <c r="G14" i="11"/>
  <c r="D17" i="9"/>
  <c r="S31" i="13"/>
  <c r="U73" i="7"/>
  <c r="AF73" i="7"/>
  <c r="AO54" i="13"/>
  <c r="AQ54" i="13" s="1"/>
  <c r="AO55" i="13"/>
  <c r="AO56" i="13"/>
  <c r="AO53" i="13"/>
  <c r="AM53" i="13"/>
  <c r="R65" i="13"/>
  <c r="AY55" i="13" s="1"/>
  <c r="U33" i="7"/>
  <c r="V33" i="7" s="1"/>
  <c r="W33" i="7" s="1"/>
  <c r="AF33" i="7"/>
  <c r="S30" i="13"/>
  <c r="AF9" i="13"/>
  <c r="S11" i="13"/>
  <c r="AF33" i="6"/>
  <c r="D63" i="10"/>
  <c r="T36" i="4"/>
  <c r="AQ38" i="13"/>
  <c r="S58" i="13"/>
  <c r="AA14" i="13"/>
  <c r="Z14" i="13"/>
  <c r="Q14" i="13"/>
  <c r="AD14" i="13"/>
  <c r="W23" i="13"/>
  <c r="AS23" i="13"/>
  <c r="D39" i="10"/>
  <c r="T11" i="4"/>
  <c r="U42" i="7"/>
  <c r="V42" i="7" s="1"/>
  <c r="W42" i="7" s="1"/>
  <c r="AF42" i="7"/>
  <c r="U39" i="7"/>
  <c r="V39" i="7" s="1"/>
  <c r="W39" i="7" s="1"/>
  <c r="AF39" i="7"/>
  <c r="AR60" i="13"/>
  <c r="U60" i="13"/>
  <c r="AF75" i="7"/>
  <c r="U75" i="7"/>
  <c r="AR55" i="13"/>
  <c r="U55" i="13"/>
  <c r="AM55" i="13"/>
  <c r="U59" i="7"/>
  <c r="AF59" i="7"/>
  <c r="D42" i="10"/>
  <c r="T14" i="4"/>
  <c r="K58" i="10"/>
  <c r="AM10" i="13"/>
  <c r="D47" i="10"/>
  <c r="T19" i="4"/>
  <c r="AF41" i="7"/>
  <c r="U41" i="7"/>
  <c r="V41" i="7" s="1"/>
  <c r="W41" i="7" s="1"/>
  <c r="K41" i="10"/>
  <c r="AF57" i="6"/>
  <c r="AM41" i="13"/>
  <c r="AF32" i="7"/>
  <c r="U32" i="7"/>
  <c r="V32" i="7" s="1"/>
  <c r="W32" i="7" s="1"/>
  <c r="D64" i="10"/>
  <c r="T37" i="4"/>
  <c r="R50" i="13"/>
  <c r="AR14" i="13"/>
  <c r="U14" i="13"/>
  <c r="AU20" i="13" s="1"/>
  <c r="AD23" i="13"/>
  <c r="Q23" i="13"/>
  <c r="AA23" i="13"/>
  <c r="AA35" i="13" s="1"/>
  <c r="Z23" i="13"/>
  <c r="S41" i="13"/>
  <c r="K63" i="10"/>
  <c r="K59" i="10"/>
  <c r="S61" i="13"/>
  <c r="D16" i="9"/>
  <c r="G13" i="11"/>
  <c r="S40" i="13"/>
  <c r="D62" i="10"/>
  <c r="T35" i="4"/>
  <c r="U48" i="7"/>
  <c r="V48" i="7" s="1"/>
  <c r="W48" i="7" s="1"/>
  <c r="AF48" i="7"/>
  <c r="S39" i="13"/>
  <c r="AS60" i="13"/>
  <c r="W60" i="13"/>
  <c r="AF57" i="7"/>
  <c r="U57" i="7"/>
  <c r="U60" i="7"/>
  <c r="AF60" i="7"/>
  <c r="O29" i="13"/>
  <c r="K42" i="10"/>
  <c r="AF31" i="6"/>
  <c r="O10" i="4"/>
  <c r="AF46" i="7"/>
  <c r="U46" i="7"/>
  <c r="V46" i="7" s="1"/>
  <c r="W46" i="7" s="1"/>
  <c r="K64" i="10"/>
  <c r="K57" i="10"/>
  <c r="S24" i="13"/>
  <c r="AF84" i="7"/>
  <c r="U84" i="7"/>
  <c r="K65" i="10"/>
  <c r="AF63" i="7"/>
  <c r="U63" i="7"/>
  <c r="AF26" i="13"/>
  <c r="G11" i="11"/>
  <c r="D14" i="9"/>
  <c r="AF25" i="7"/>
  <c r="U25" i="7"/>
  <c r="V25" i="7" s="1"/>
  <c r="W25" i="7" s="1"/>
  <c r="AF28" i="6"/>
  <c r="D58" i="10"/>
  <c r="T31" i="4"/>
  <c r="K39" i="10"/>
  <c r="AO41" i="13"/>
  <c r="AS14" i="13"/>
  <c r="AS20" i="13" s="1"/>
  <c r="W14" i="13"/>
  <c r="AV20" i="13" s="1"/>
  <c r="AM22" i="13"/>
  <c r="D48" i="10"/>
  <c r="T20" i="4"/>
  <c r="U43" i="7"/>
  <c r="V43" i="7" s="1"/>
  <c r="W43" i="7" s="1"/>
  <c r="AF43" i="7"/>
  <c r="AF58" i="6"/>
  <c r="AD60" i="13"/>
  <c r="AA60" i="13"/>
  <c r="Z60" i="13"/>
  <c r="Q60" i="13"/>
  <c r="AF55" i="13" s="1"/>
  <c r="O60" i="13"/>
  <c r="U83" i="7"/>
  <c r="AF83" i="7"/>
  <c r="AF84" i="6"/>
  <c r="K61" i="10"/>
  <c r="O49" i="13"/>
  <c r="AH40" i="13" l="1"/>
  <c r="AJ40" i="13" s="1"/>
  <c r="AR35" i="13"/>
  <c r="AR50" i="13"/>
  <c r="AV50" i="13"/>
  <c r="U50" i="13"/>
  <c r="AQ25" i="13"/>
  <c r="AF7" i="13"/>
  <c r="AY29" i="13"/>
  <c r="AQ11" i="13"/>
  <c r="AF37" i="13"/>
  <c r="AQ55" i="13"/>
  <c r="Z50" i="13"/>
  <c r="AH11" i="13"/>
  <c r="AH41" i="13"/>
  <c r="AY14" i="13"/>
  <c r="BB14" i="13" s="1"/>
  <c r="AR20" i="13"/>
  <c r="Z20" i="13"/>
  <c r="AA20" i="13"/>
  <c r="AF22" i="13"/>
  <c r="AU50" i="13"/>
  <c r="AH39" i="13"/>
  <c r="AQ10" i="13"/>
  <c r="Q50" i="13"/>
  <c r="BA39" i="13" s="1"/>
  <c r="AF39" i="13"/>
  <c r="Z65" i="13"/>
  <c r="AQ41" i="13"/>
  <c r="Z35" i="13"/>
  <c r="AA50" i="13"/>
  <c r="AH38" i="13"/>
  <c r="AJ38" i="13" s="1"/>
  <c r="AS35" i="13"/>
  <c r="W50" i="13"/>
  <c r="AH10" i="13"/>
  <c r="AR65" i="13"/>
  <c r="AS50" i="13"/>
  <c r="E78" i="10"/>
  <c r="V61" i="7"/>
  <c r="W61" i="7" s="1"/>
  <c r="V60" i="7"/>
  <c r="W60" i="7" s="1"/>
  <c r="E77" i="10"/>
  <c r="AY45" i="13"/>
  <c r="AY48" i="13"/>
  <c r="AY44" i="13"/>
  <c r="AY47" i="13"/>
  <c r="AY40" i="13"/>
  <c r="AY38" i="13"/>
  <c r="AY41" i="13"/>
  <c r="AY46" i="13"/>
  <c r="AY39" i="13"/>
  <c r="G58" i="10"/>
  <c r="B42" i="11"/>
  <c r="D42" i="11" s="1"/>
  <c r="Z42" i="7"/>
  <c r="AO42" i="13"/>
  <c r="AO43" i="13" s="1"/>
  <c r="AU35" i="13"/>
  <c r="U35" i="13"/>
  <c r="K68" i="10"/>
  <c r="E94" i="10"/>
  <c r="V78" i="7"/>
  <c r="W78" i="7" s="1"/>
  <c r="B35" i="11"/>
  <c r="D35" i="11" s="1"/>
  <c r="G49" i="10"/>
  <c r="Z33" i="7"/>
  <c r="S42" i="13"/>
  <c r="G44" i="10"/>
  <c r="B30" i="11"/>
  <c r="D30" i="11" s="1"/>
  <c r="Z28" i="7"/>
  <c r="E95" i="10"/>
  <c r="V79" i="7"/>
  <c r="W79" i="7" s="1"/>
  <c r="G40" i="10"/>
  <c r="B26" i="11"/>
  <c r="D26" i="11" s="1"/>
  <c r="Z24" i="7"/>
  <c r="V31" i="7"/>
  <c r="W31" i="7" s="1"/>
  <c r="E82" i="10"/>
  <c r="V65" i="7"/>
  <c r="W65" i="7" s="1"/>
  <c r="E96" i="10"/>
  <c r="V80" i="7"/>
  <c r="W80" i="7" s="1"/>
  <c r="BB23" i="13"/>
  <c r="AZ23" i="13"/>
  <c r="B28" i="11"/>
  <c r="D28" i="11" s="1"/>
  <c r="G42" i="10"/>
  <c r="Z26" i="7"/>
  <c r="B46" i="11"/>
  <c r="D46" i="11" s="1"/>
  <c r="G62" i="10"/>
  <c r="Z46" i="7"/>
  <c r="BA41" i="13"/>
  <c r="E91" i="10"/>
  <c r="V75" i="7"/>
  <c r="W75" i="7" s="1"/>
  <c r="AY64" i="13"/>
  <c r="AY54" i="13"/>
  <c r="AY53" i="13"/>
  <c r="AY61" i="13"/>
  <c r="AY59" i="13"/>
  <c r="AY62" i="13"/>
  <c r="AY57" i="13"/>
  <c r="AY56" i="13"/>
  <c r="AY58" i="13"/>
  <c r="E84" i="10"/>
  <c r="V67" i="7"/>
  <c r="W67" i="7" s="1"/>
  <c r="B24" i="11"/>
  <c r="D24" i="11" s="1"/>
  <c r="G38" i="10"/>
  <c r="Z22" i="7"/>
  <c r="AY27" i="13"/>
  <c r="AY32" i="13"/>
  <c r="AY34" i="13"/>
  <c r="AY24" i="13"/>
  <c r="AY25" i="13"/>
  <c r="AY31" i="13"/>
  <c r="AY28" i="13"/>
  <c r="AY33" i="13"/>
  <c r="AY30" i="13"/>
  <c r="AY26" i="13"/>
  <c r="U65" i="13"/>
  <c r="AU65" i="13"/>
  <c r="S60" i="13"/>
  <c r="G48" i="10"/>
  <c r="B34" i="11"/>
  <c r="D34" i="11" s="1"/>
  <c r="Z32" i="7"/>
  <c r="AV35" i="13"/>
  <c r="W35" i="13"/>
  <c r="AQ53" i="13"/>
  <c r="AY43" i="13"/>
  <c r="B40" i="11"/>
  <c r="D40" i="11" s="1"/>
  <c r="G56" i="10"/>
  <c r="Z40" i="7"/>
  <c r="D55" i="10"/>
  <c r="D67" i="10" s="1"/>
  <c r="T28" i="4"/>
  <c r="P40" i="4"/>
  <c r="T40" i="4" s="1"/>
  <c r="S17" i="13"/>
  <c r="AF11" i="13"/>
  <c r="AJ11" i="13" s="1"/>
  <c r="P10" i="4"/>
  <c r="O22" i="4"/>
  <c r="BB29" i="13"/>
  <c r="AZ29" i="13"/>
  <c r="E93" i="10"/>
  <c r="V77" i="7"/>
  <c r="W77" i="7" s="1"/>
  <c r="E100" i="10"/>
  <c r="V84" i="7"/>
  <c r="W84" i="7" s="1"/>
  <c r="AY49" i="13"/>
  <c r="AF10" i="13"/>
  <c r="S14" i="13"/>
  <c r="AZ17" i="13"/>
  <c r="BB17" i="13"/>
  <c r="AF52" i="13"/>
  <c r="AQ56" i="13"/>
  <c r="W20" i="13"/>
  <c r="BA43" i="13"/>
  <c r="S43" i="13"/>
  <c r="AS65" i="13"/>
  <c r="B45" i="11"/>
  <c r="D45" i="11" s="1"/>
  <c r="G61" i="10"/>
  <c r="Z45" i="7"/>
  <c r="V74" i="7"/>
  <c r="W74" i="7" s="1"/>
  <c r="E90" i="10"/>
  <c r="AH8" i="13"/>
  <c r="AJ8" i="13" s="1"/>
  <c r="E74" i="10"/>
  <c r="V57" i="7"/>
  <c r="W57" i="7" s="1"/>
  <c r="E80" i="10"/>
  <c r="V63" i="7"/>
  <c r="W63" i="7" s="1"/>
  <c r="B32" i="11"/>
  <c r="D32" i="11" s="1"/>
  <c r="G46" i="10"/>
  <c r="Z30" i="7"/>
  <c r="Q35" i="13"/>
  <c r="BA23" i="13" s="1"/>
  <c r="AH26" i="13"/>
  <c r="AJ26" i="13" s="1"/>
  <c r="S23" i="13"/>
  <c r="AH23" i="13"/>
  <c r="AF23" i="13"/>
  <c r="AH25" i="13"/>
  <c r="AH24" i="13"/>
  <c r="AJ24" i="13" s="1"/>
  <c r="B31" i="11"/>
  <c r="D31" i="11" s="1"/>
  <c r="G45" i="10"/>
  <c r="Z29" i="7"/>
  <c r="AA65" i="13"/>
  <c r="E75" i="10"/>
  <c r="V58" i="7"/>
  <c r="W58" i="7" s="1"/>
  <c r="AV65" i="13"/>
  <c r="W65" i="13"/>
  <c r="E83" i="10"/>
  <c r="V66" i="7"/>
  <c r="W66" i="7" s="1"/>
  <c r="AY60" i="13"/>
  <c r="K51" i="10"/>
  <c r="BA49" i="13"/>
  <c r="S49" i="13"/>
  <c r="AF41" i="13"/>
  <c r="AJ41" i="13" s="1"/>
  <c r="BA45" i="13"/>
  <c r="BA48" i="13"/>
  <c r="BA47" i="13"/>
  <c r="BA44" i="13"/>
  <c r="E81" i="10"/>
  <c r="V64" i="7"/>
  <c r="W64" i="7" s="1"/>
  <c r="B44" i="11"/>
  <c r="D44" i="11" s="1"/>
  <c r="Z44" i="7"/>
  <c r="G60" i="10"/>
  <c r="B25" i="11"/>
  <c r="D25" i="11" s="1"/>
  <c r="G39" i="10"/>
  <c r="Z23" i="7"/>
  <c r="B43" i="11"/>
  <c r="D43" i="11" s="1"/>
  <c r="G59" i="10"/>
  <c r="Z43" i="7"/>
  <c r="B27" i="11"/>
  <c r="D27" i="11" s="1"/>
  <c r="G41" i="10"/>
  <c r="Z25" i="7"/>
  <c r="AZ55" i="13"/>
  <c r="BB55" i="13"/>
  <c r="G66" i="10"/>
  <c r="B50" i="11"/>
  <c r="D50" i="11" s="1"/>
  <c r="Z50" i="7"/>
  <c r="E97" i="10"/>
  <c r="V81" i="7"/>
  <c r="W81" i="7" s="1"/>
  <c r="AH9" i="13"/>
  <c r="AJ9" i="13" s="1"/>
  <c r="U20" i="13"/>
  <c r="AY42" i="13"/>
  <c r="AQ23" i="13"/>
  <c r="S29" i="13"/>
  <c r="AF25" i="13"/>
  <c r="BA29" i="13"/>
  <c r="S55" i="13"/>
  <c r="AH54" i="13"/>
  <c r="AJ54" i="13" s="1"/>
  <c r="AF53" i="13"/>
  <c r="Q65" i="13"/>
  <c r="BA60" i="13" s="1"/>
  <c r="AH53" i="13"/>
  <c r="AH56" i="13"/>
  <c r="AJ56" i="13" s="1"/>
  <c r="AH55" i="13"/>
  <c r="AJ55" i="13" s="1"/>
  <c r="E79" i="10"/>
  <c r="V62" i="7"/>
  <c r="W62" i="7" s="1"/>
  <c r="E92" i="10"/>
  <c r="V76" i="7"/>
  <c r="W76" i="7" s="1"/>
  <c r="S63" i="13"/>
  <c r="G65" i="10"/>
  <c r="Z49" i="7"/>
  <c r="B49" i="11"/>
  <c r="D49" i="11" s="1"/>
  <c r="E73" i="10"/>
  <c r="V56" i="7"/>
  <c r="W56" i="7" s="1"/>
  <c r="AY10" i="13"/>
  <c r="AY18" i="13"/>
  <c r="AY12" i="13"/>
  <c r="AY16" i="13"/>
  <c r="AY8" i="13"/>
  <c r="AY19" i="13"/>
  <c r="AY11" i="13"/>
  <c r="AY13" i="13"/>
  <c r="AY15" i="13"/>
  <c r="AY9" i="13"/>
  <c r="Q20" i="13"/>
  <c r="BA14" i="13" s="1"/>
  <c r="G43" i="10"/>
  <c r="B29" i="11"/>
  <c r="D29" i="11" s="1"/>
  <c r="Z27" i="7"/>
  <c r="B48" i="11"/>
  <c r="D48" i="11" s="1"/>
  <c r="G64" i="10"/>
  <c r="Z48" i="7"/>
  <c r="B39" i="11"/>
  <c r="D39" i="11" s="1"/>
  <c r="G55" i="10"/>
  <c r="W51" i="7"/>
  <c r="Z39" i="7"/>
  <c r="E99" i="10"/>
  <c r="V83" i="7"/>
  <c r="W83" i="7" s="1"/>
  <c r="B41" i="11"/>
  <c r="D41" i="11" s="1"/>
  <c r="G57" i="10"/>
  <c r="Z41" i="7"/>
  <c r="E76" i="10"/>
  <c r="V59" i="7"/>
  <c r="W59" i="7" s="1"/>
  <c r="E89" i="10"/>
  <c r="V73" i="7"/>
  <c r="W73" i="7" s="1"/>
  <c r="G63" i="10"/>
  <c r="B47" i="11"/>
  <c r="D47" i="11" s="1"/>
  <c r="Z47" i="7"/>
  <c r="AY63" i="13"/>
  <c r="E98" i="10"/>
  <c r="V82" i="7"/>
  <c r="W82" i="7" s="1"/>
  <c r="AO12" i="13" l="1"/>
  <c r="AO13" i="13" s="1"/>
  <c r="BA46" i="13"/>
  <c r="BA38" i="13"/>
  <c r="BA42" i="13"/>
  <c r="AJ23" i="13"/>
  <c r="AJ39" i="13"/>
  <c r="BA40" i="13"/>
  <c r="AZ14" i="13"/>
  <c r="AJ10" i="13"/>
  <c r="AH12" i="13" s="1"/>
  <c r="AH13" i="13" s="1"/>
  <c r="AH42" i="13"/>
  <c r="AH43" i="13" s="1"/>
  <c r="AF45" i="13" s="1"/>
  <c r="AM44" i="13"/>
  <c r="AM45" i="13"/>
  <c r="AZ42" i="13"/>
  <c r="BB42" i="13"/>
  <c r="B77" i="11"/>
  <c r="D77" i="11" s="1"/>
  <c r="C97" i="10"/>
  <c r="D97" i="10" s="1"/>
  <c r="BB44" i="13"/>
  <c r="AZ44" i="13"/>
  <c r="Z51" i="7"/>
  <c r="AZ15" i="13"/>
  <c r="BB15" i="13"/>
  <c r="AJ53" i="13"/>
  <c r="L59" i="10"/>
  <c r="H59" i="10"/>
  <c r="BB31" i="13"/>
  <c r="AZ31" i="13"/>
  <c r="AZ48" i="13"/>
  <c r="BB48" i="13"/>
  <c r="BB26" i="13"/>
  <c r="AZ26" i="13"/>
  <c r="AZ38" i="13"/>
  <c r="BB38" i="13"/>
  <c r="AZ9" i="13"/>
  <c r="BB9" i="13"/>
  <c r="BB28" i="13"/>
  <c r="AZ28" i="13"/>
  <c r="L44" i="10"/>
  <c r="H44" i="10"/>
  <c r="B56" i="11"/>
  <c r="D56" i="11" s="1"/>
  <c r="C75" i="10"/>
  <c r="D75" i="10" s="1"/>
  <c r="B55" i="11"/>
  <c r="D55" i="11" s="1"/>
  <c r="C74" i="10"/>
  <c r="D74" i="10" s="1"/>
  <c r="BB25" i="13"/>
  <c r="AZ25" i="13"/>
  <c r="BB58" i="13"/>
  <c r="AZ58" i="13"/>
  <c r="C82" i="10"/>
  <c r="D82" i="10" s="1"/>
  <c r="B63" i="11"/>
  <c r="D63" i="11" s="1"/>
  <c r="BB45" i="13"/>
  <c r="AZ45" i="13"/>
  <c r="AZ10" i="13"/>
  <c r="BB10" i="13"/>
  <c r="L38" i="10"/>
  <c r="H38" i="10"/>
  <c r="L48" i="10"/>
  <c r="H48" i="10"/>
  <c r="BB24" i="13"/>
  <c r="AZ24" i="13"/>
  <c r="AZ56" i="13"/>
  <c r="BB56" i="13"/>
  <c r="L62" i="10"/>
  <c r="H62" i="10"/>
  <c r="AZ60" i="13"/>
  <c r="BB60" i="13"/>
  <c r="B79" i="11"/>
  <c r="D79" i="11" s="1"/>
  <c r="B23" i="9"/>
  <c r="E23" i="9" s="1"/>
  <c r="C99" i="10"/>
  <c r="D99" i="10" s="1"/>
  <c r="F12" i="11"/>
  <c r="C36" i="9"/>
  <c r="C15" i="9"/>
  <c r="F15" i="9" s="1"/>
  <c r="AZ19" i="13"/>
  <c r="BB19" i="13"/>
  <c r="L56" i="10"/>
  <c r="H56" i="10"/>
  <c r="AZ32" i="13"/>
  <c r="BB32" i="13"/>
  <c r="BB62" i="13"/>
  <c r="AZ62" i="13"/>
  <c r="L58" i="10"/>
  <c r="H58" i="10"/>
  <c r="BB54" i="13"/>
  <c r="AZ54" i="13"/>
  <c r="BA64" i="13"/>
  <c r="BA53" i="13"/>
  <c r="BA54" i="13"/>
  <c r="BA57" i="13"/>
  <c r="BA58" i="13"/>
  <c r="BA61" i="13"/>
  <c r="BA62" i="13"/>
  <c r="BA56" i="13"/>
  <c r="BA59" i="13"/>
  <c r="B73" i="11"/>
  <c r="D73" i="11" s="1"/>
  <c r="C93" i="10"/>
  <c r="D93" i="10" s="1"/>
  <c r="B76" i="11"/>
  <c r="D76" i="11" s="1"/>
  <c r="C96" i="10"/>
  <c r="D96" i="10" s="1"/>
  <c r="L63" i="10"/>
  <c r="H63" i="10"/>
  <c r="BA63" i="13"/>
  <c r="BB57" i="13"/>
  <c r="AZ57" i="13"/>
  <c r="L49" i="10"/>
  <c r="H49" i="10"/>
  <c r="C92" i="10"/>
  <c r="D92" i="10" s="1"/>
  <c r="B72" i="11"/>
  <c r="D72" i="11" s="1"/>
  <c r="B57" i="11"/>
  <c r="D57" i="11" s="1"/>
  <c r="C76" i="10"/>
  <c r="D76" i="10" s="1"/>
  <c r="L64" i="10"/>
  <c r="H64" i="10"/>
  <c r="BB16" i="13"/>
  <c r="AZ16" i="13"/>
  <c r="AJ25" i="13"/>
  <c r="L60" i="10"/>
  <c r="H60" i="10"/>
  <c r="BA27" i="13"/>
  <c r="BA32" i="13"/>
  <c r="BA34" i="13"/>
  <c r="BA28" i="13"/>
  <c r="BA30" i="13"/>
  <c r="BA24" i="13"/>
  <c r="BA26" i="13"/>
  <c r="BA31" i="13"/>
  <c r="BA33" i="13"/>
  <c r="BA25" i="13"/>
  <c r="B70" i="11"/>
  <c r="D70" i="11" s="1"/>
  <c r="C90" i="10"/>
  <c r="D90" i="10" s="1"/>
  <c r="BB27" i="13"/>
  <c r="AZ27" i="13"/>
  <c r="AZ59" i="13"/>
  <c r="BB59" i="13"/>
  <c r="L42" i="10"/>
  <c r="H42" i="10"/>
  <c r="AZ39" i="13"/>
  <c r="BB39" i="13"/>
  <c r="L57" i="10"/>
  <c r="H57" i="10"/>
  <c r="C80" i="10"/>
  <c r="D80" i="10" s="1"/>
  <c r="B61" i="11"/>
  <c r="D61" i="11" s="1"/>
  <c r="B65" i="11"/>
  <c r="D65" i="11" s="1"/>
  <c r="C84" i="10"/>
  <c r="D84" i="10" s="1"/>
  <c r="G67" i="10"/>
  <c r="L55" i="10"/>
  <c r="H55" i="10"/>
  <c r="B69" i="11"/>
  <c r="D69" i="11" s="1"/>
  <c r="C89" i="10"/>
  <c r="D89" i="10" s="1"/>
  <c r="W85" i="7"/>
  <c r="BA55" i="13"/>
  <c r="L66" i="10"/>
  <c r="H66" i="10"/>
  <c r="L39" i="10"/>
  <c r="H39" i="10"/>
  <c r="BB34" i="13"/>
  <c r="AZ34" i="13"/>
  <c r="C77" i="10"/>
  <c r="D77" i="10" s="1"/>
  <c r="B58" i="11"/>
  <c r="D58" i="11" s="1"/>
  <c r="BB12" i="13"/>
  <c r="AZ12" i="13"/>
  <c r="B60" i="11"/>
  <c r="D60" i="11" s="1"/>
  <c r="C79" i="10"/>
  <c r="D79" i="10" s="1"/>
  <c r="BB43" i="13"/>
  <c r="AZ43" i="13"/>
  <c r="BB61" i="13"/>
  <c r="AZ61" i="13"/>
  <c r="L40" i="10"/>
  <c r="H40" i="10"/>
  <c r="B74" i="11"/>
  <c r="D74" i="11" s="1"/>
  <c r="C94" i="10"/>
  <c r="D94" i="10" s="1"/>
  <c r="BB46" i="13"/>
  <c r="AZ46" i="13"/>
  <c r="B59" i="11"/>
  <c r="D59" i="11" s="1"/>
  <c r="C78" i="10"/>
  <c r="D78" i="10" s="1"/>
  <c r="B78" i="11"/>
  <c r="D78" i="11" s="1"/>
  <c r="C98" i="10"/>
  <c r="D98" i="10" s="1"/>
  <c r="B22" i="9"/>
  <c r="E22" i="9" s="1"/>
  <c r="BA18" i="13"/>
  <c r="BA10" i="13"/>
  <c r="BA8" i="13"/>
  <c r="BA16" i="13"/>
  <c r="BA9" i="13"/>
  <c r="BA19" i="13"/>
  <c r="BA11" i="13"/>
  <c r="BA13" i="13"/>
  <c r="BA15" i="13"/>
  <c r="BA12" i="13"/>
  <c r="BB63" i="13"/>
  <c r="AZ63" i="13"/>
  <c r="BB13" i="13"/>
  <c r="AZ13" i="13"/>
  <c r="L65" i="10"/>
  <c r="H65" i="10"/>
  <c r="BB11" i="13"/>
  <c r="AZ11" i="13"/>
  <c r="G47" i="10"/>
  <c r="G50" i="10" s="1"/>
  <c r="B33" i="11"/>
  <c r="D33" i="11" s="1"/>
  <c r="Z31" i="7"/>
  <c r="Z34" i="7" s="1"/>
  <c r="BB8" i="13"/>
  <c r="AZ8" i="13"/>
  <c r="AZ18" i="13"/>
  <c r="BB18" i="13"/>
  <c r="AO27" i="13"/>
  <c r="AO28" i="13" s="1"/>
  <c r="L45" i="10"/>
  <c r="H45" i="10"/>
  <c r="L46" i="10"/>
  <c r="H46" i="10"/>
  <c r="L61" i="10"/>
  <c r="H61" i="10"/>
  <c r="D38" i="10"/>
  <c r="D50" i="10" s="1"/>
  <c r="P22" i="4"/>
  <c r="T22" i="4" s="1"/>
  <c r="T10" i="4"/>
  <c r="AO57" i="13"/>
  <c r="AO58" i="13" s="1"/>
  <c r="W34" i="7"/>
  <c r="BB53" i="13"/>
  <c r="AZ53" i="13"/>
  <c r="B75" i="11"/>
  <c r="D75" i="11" s="1"/>
  <c r="C95" i="10"/>
  <c r="D95" i="10" s="1"/>
  <c r="BB41" i="13"/>
  <c r="AZ41" i="13"/>
  <c r="C81" i="10"/>
  <c r="D81" i="10" s="1"/>
  <c r="B62" i="11"/>
  <c r="D62" i="11" s="1"/>
  <c r="L43" i="10"/>
  <c r="H43" i="10"/>
  <c r="C73" i="10"/>
  <c r="D73" i="10" s="1"/>
  <c r="B54" i="11"/>
  <c r="D54" i="11" s="1"/>
  <c r="W68" i="7"/>
  <c r="L41" i="10"/>
  <c r="H41" i="10"/>
  <c r="B64" i="11"/>
  <c r="D64" i="11" s="1"/>
  <c r="C83" i="10"/>
  <c r="D83" i="10" s="1"/>
  <c r="C100" i="10"/>
  <c r="D100" i="10" s="1"/>
  <c r="B80" i="11"/>
  <c r="D80" i="11" s="1"/>
  <c r="B24" i="9"/>
  <c r="E24" i="9" s="1"/>
  <c r="BB30" i="13"/>
  <c r="AZ30" i="13"/>
  <c r="BB64" i="13"/>
  <c r="AZ64" i="13"/>
  <c r="BA50" i="13"/>
  <c r="BB40" i="13"/>
  <c r="AZ40" i="13"/>
  <c r="BB49" i="13"/>
  <c r="AZ49" i="13"/>
  <c r="BA17" i="13"/>
  <c r="BB33" i="13"/>
  <c r="AZ33" i="13"/>
  <c r="C91" i="10"/>
  <c r="D91" i="10" s="1"/>
  <c r="B71" i="11"/>
  <c r="D71" i="11" s="1"/>
  <c r="AM14" i="13"/>
  <c r="AM15" i="13"/>
  <c r="AZ47" i="13"/>
  <c r="BB47" i="13"/>
  <c r="AH27" i="13" l="1"/>
  <c r="AH28" i="13" s="1"/>
  <c r="AF44" i="13"/>
  <c r="C6" i="14" s="1"/>
  <c r="AZ35" i="13"/>
  <c r="BA65" i="13"/>
  <c r="BA35" i="13"/>
  <c r="BB35" i="13"/>
  <c r="BC35" i="13"/>
  <c r="AM60" i="13"/>
  <c r="AM59" i="13"/>
  <c r="AF29" i="13"/>
  <c r="AF30" i="13"/>
  <c r="AF14" i="13"/>
  <c r="AF15" i="13"/>
  <c r="AM30" i="13"/>
  <c r="AM29" i="13"/>
  <c r="H67" i="10"/>
  <c r="BA20" i="13"/>
  <c r="L68" i="10"/>
  <c r="G36" i="9"/>
  <c r="H36" i="9"/>
  <c r="H22" i="15"/>
  <c r="T5" i="14"/>
  <c r="X10" i="13"/>
  <c r="X18" i="13"/>
  <c r="X19" i="13"/>
  <c r="X11" i="13"/>
  <c r="X12" i="13"/>
  <c r="X13" i="13"/>
  <c r="X15" i="13"/>
  <c r="X16" i="13"/>
  <c r="X8" i="13"/>
  <c r="X9" i="13"/>
  <c r="X17" i="13"/>
  <c r="X14" i="13"/>
  <c r="F11" i="11"/>
  <c r="C35" i="9"/>
  <c r="C14" i="9"/>
  <c r="F14" i="9" s="1"/>
  <c r="BC20" i="13"/>
  <c r="AZ20" i="13"/>
  <c r="B23" i="15"/>
  <c r="AC47" i="13"/>
  <c r="P6" i="14" s="1"/>
  <c r="AC46" i="13"/>
  <c r="O6" i="14" s="1"/>
  <c r="AC41" i="13"/>
  <c r="J6" i="14" s="1"/>
  <c r="AC38" i="13"/>
  <c r="AH57" i="13"/>
  <c r="AH58" i="13" s="1"/>
  <c r="AB45" i="13"/>
  <c r="AC45" i="13" s="1"/>
  <c r="N6" i="14" s="1"/>
  <c r="AB44" i="13"/>
  <c r="AC44" i="13" s="1"/>
  <c r="M6" i="14" s="1"/>
  <c r="AB48" i="13"/>
  <c r="AB47" i="13"/>
  <c r="AB41" i="13"/>
  <c r="AB46" i="13"/>
  <c r="AB38" i="13"/>
  <c r="AB39" i="13"/>
  <c r="AC39" i="13" s="1"/>
  <c r="H6" i="14" s="1"/>
  <c r="AB40" i="13"/>
  <c r="AC40" i="13" s="1"/>
  <c r="I6" i="14" s="1"/>
  <c r="AB42" i="13"/>
  <c r="AC42" i="13" s="1"/>
  <c r="K6" i="14" s="1"/>
  <c r="AB43" i="13"/>
  <c r="AC43" i="13" s="1"/>
  <c r="L6" i="14" s="1"/>
  <c r="AB49" i="13"/>
  <c r="AC49" i="13" s="1"/>
  <c r="R6" i="14" s="1"/>
  <c r="BC65" i="13"/>
  <c r="AZ65" i="13"/>
  <c r="BB20" i="13"/>
  <c r="F13" i="11"/>
  <c r="C16" i="9"/>
  <c r="F16" i="9" s="1"/>
  <c r="C37" i="9"/>
  <c r="BB50" i="13"/>
  <c r="BB65" i="13"/>
  <c r="L47" i="10"/>
  <c r="L51" i="10" s="1"/>
  <c r="H47" i="10"/>
  <c r="H50" i="10" s="1"/>
  <c r="BC50" i="13"/>
  <c r="AZ50" i="13"/>
  <c r="X45" i="13"/>
  <c r="X44" i="13"/>
  <c r="X47" i="13"/>
  <c r="X48" i="13"/>
  <c r="X38" i="13"/>
  <c r="X40" i="13"/>
  <c r="X41" i="13"/>
  <c r="X46" i="13"/>
  <c r="X39" i="13"/>
  <c r="X49" i="13"/>
  <c r="X42" i="13"/>
  <c r="X43" i="13"/>
  <c r="F14" i="11"/>
  <c r="C38" i="9"/>
  <c r="C17" i="9"/>
  <c r="F17" i="9" s="1"/>
  <c r="AC48" i="13" l="1"/>
  <c r="Q6" i="14" s="1"/>
  <c r="AF59" i="13"/>
  <c r="AF60" i="13"/>
  <c r="AT46" i="13"/>
  <c r="Y46" i="13"/>
  <c r="AC50" i="13"/>
  <c r="G6" i="14"/>
  <c r="AB50" i="13"/>
  <c r="Y13" i="13"/>
  <c r="AT13" i="13"/>
  <c r="AT8" i="13"/>
  <c r="Y8" i="13"/>
  <c r="AT16" i="13"/>
  <c r="Y16" i="13"/>
  <c r="Y40" i="13"/>
  <c r="AT40" i="13"/>
  <c r="AT38" i="13"/>
  <c r="Y38" i="13"/>
  <c r="H21" i="15"/>
  <c r="T4" i="14"/>
  <c r="Y12" i="13"/>
  <c r="AT12" i="13"/>
  <c r="Y47" i="13"/>
  <c r="AT47" i="13"/>
  <c r="Y11" i="13"/>
  <c r="AT11" i="13"/>
  <c r="X27" i="13"/>
  <c r="X32" i="13"/>
  <c r="X34" i="13"/>
  <c r="X28" i="13"/>
  <c r="X33" i="13"/>
  <c r="X25" i="13"/>
  <c r="X30" i="13"/>
  <c r="X31" i="13"/>
  <c r="X24" i="13"/>
  <c r="X26" i="13"/>
  <c r="X29" i="13"/>
  <c r="X23" i="13"/>
  <c r="Y15" i="13"/>
  <c r="AT15" i="13"/>
  <c r="H37" i="9"/>
  <c r="G37" i="9"/>
  <c r="Y48" i="13"/>
  <c r="AT48" i="13"/>
  <c r="H38" i="9"/>
  <c r="G38" i="9"/>
  <c r="Y44" i="13"/>
  <c r="AT44" i="13"/>
  <c r="AT19" i="13"/>
  <c r="Y19" i="13"/>
  <c r="AB10" i="13"/>
  <c r="AB18" i="13"/>
  <c r="AB15" i="13"/>
  <c r="AB11" i="13"/>
  <c r="AB19" i="13"/>
  <c r="AB8" i="13"/>
  <c r="AB16" i="13"/>
  <c r="AB9" i="13"/>
  <c r="AB12" i="13"/>
  <c r="AB13" i="13"/>
  <c r="AB14" i="13"/>
  <c r="AB17" i="13"/>
  <c r="AT45" i="13"/>
  <c r="Y45" i="13"/>
  <c r="H35" i="9"/>
  <c r="G35" i="9"/>
  <c r="AT18" i="13"/>
  <c r="Y18" i="13"/>
  <c r="D21" i="15"/>
  <c r="D4" i="14"/>
  <c r="B21" i="15"/>
  <c r="C4" i="14"/>
  <c r="AC18" i="13"/>
  <c r="Q4" i="14" s="1"/>
  <c r="AC12" i="13"/>
  <c r="K4" i="14" s="1"/>
  <c r="AC16" i="13"/>
  <c r="O4" i="14" s="1"/>
  <c r="AC11" i="13"/>
  <c r="J4" i="14" s="1"/>
  <c r="AC15" i="13"/>
  <c r="N4" i="14" s="1"/>
  <c r="AC8" i="13"/>
  <c r="AC9" i="13"/>
  <c r="H4" i="14" s="1"/>
  <c r="AC19" i="13"/>
  <c r="R4" i="14" s="1"/>
  <c r="AC14" i="13"/>
  <c r="M4" i="14" s="1"/>
  <c r="AC10" i="13"/>
  <c r="I4" i="14" s="1"/>
  <c r="AC13" i="13"/>
  <c r="L4" i="14" s="1"/>
  <c r="AC17" i="13"/>
  <c r="P4" i="14" s="1"/>
  <c r="Y43" i="13"/>
  <c r="AT43" i="13"/>
  <c r="H23" i="15"/>
  <c r="T6" i="14"/>
  <c r="H24" i="15"/>
  <c r="T7" i="14"/>
  <c r="AT10" i="13"/>
  <c r="Y10" i="13"/>
  <c r="AB27" i="13"/>
  <c r="AB32" i="13"/>
  <c r="AB34" i="13"/>
  <c r="AB28" i="13"/>
  <c r="AB33" i="13"/>
  <c r="AB24" i="13"/>
  <c r="AB25" i="13"/>
  <c r="AB30" i="13"/>
  <c r="AB31" i="13"/>
  <c r="AB26" i="13"/>
  <c r="AB23" i="13"/>
  <c r="AB29" i="13"/>
  <c r="Y42" i="13"/>
  <c r="AT42" i="13"/>
  <c r="Y14" i="13"/>
  <c r="AT14" i="13"/>
  <c r="D22" i="15"/>
  <c r="AC31" i="13"/>
  <c r="O5" i="14" s="1"/>
  <c r="B22" i="15"/>
  <c r="D5" i="14"/>
  <c r="C5" i="14"/>
  <c r="AC27" i="13"/>
  <c r="K5" i="14" s="1"/>
  <c r="AC33" i="13"/>
  <c r="Q5" i="14" s="1"/>
  <c r="AC28" i="13"/>
  <c r="L5" i="14" s="1"/>
  <c r="AC24" i="13"/>
  <c r="H5" i="14" s="1"/>
  <c r="AC23" i="13"/>
  <c r="AC26" i="13"/>
  <c r="J5" i="14" s="1"/>
  <c r="AC29" i="13"/>
  <c r="M5" i="14" s="1"/>
  <c r="AC32" i="13"/>
  <c r="P5" i="14" s="1"/>
  <c r="AC34" i="13"/>
  <c r="R5" i="14" s="1"/>
  <c r="AC30" i="13"/>
  <c r="N5" i="14" s="1"/>
  <c r="AC25" i="13"/>
  <c r="I5" i="14" s="1"/>
  <c r="Y49" i="13"/>
  <c r="AT49" i="13"/>
  <c r="Y17" i="13"/>
  <c r="AT17" i="13"/>
  <c r="AT41" i="13"/>
  <c r="Y41" i="13"/>
  <c r="AT39" i="13"/>
  <c r="Y39" i="13"/>
  <c r="Y9" i="13"/>
  <c r="AT9" i="13"/>
  <c r="X64" i="13"/>
  <c r="X53" i="13"/>
  <c r="X54" i="13"/>
  <c r="X62" i="13"/>
  <c r="X56" i="13"/>
  <c r="X57" i="13"/>
  <c r="X59" i="13"/>
  <c r="X61" i="13"/>
  <c r="X58" i="13"/>
  <c r="X60" i="13"/>
  <c r="X63" i="13"/>
  <c r="X55" i="13"/>
  <c r="AT24" i="13" l="1"/>
  <c r="Y24" i="13"/>
  <c r="AT20" i="13"/>
  <c r="AT55" i="13"/>
  <c r="Y55" i="13"/>
  <c r="Y61" i="13"/>
  <c r="AT61" i="13"/>
  <c r="G5" i="14"/>
  <c r="AC35" i="13"/>
  <c r="Y31" i="13"/>
  <c r="AT31" i="13"/>
  <c r="AT29" i="13"/>
  <c r="Y29" i="13"/>
  <c r="AT58" i="13"/>
  <c r="Y58" i="13"/>
  <c r="AB20" i="13"/>
  <c r="AT25" i="13"/>
  <c r="Y25" i="13"/>
  <c r="AB35" i="13"/>
  <c r="Y33" i="13"/>
  <c r="AT33" i="13"/>
  <c r="G4" i="14"/>
  <c r="AC20" i="13"/>
  <c r="Y28" i="13"/>
  <c r="AT28" i="13"/>
  <c r="AW50" i="13"/>
  <c r="Y50" i="13"/>
  <c r="D6" i="14" s="1"/>
  <c r="C23" i="15"/>
  <c r="F6" i="14"/>
  <c r="E6" i="14"/>
  <c r="S6" i="14"/>
  <c r="Y63" i="13"/>
  <c r="AT63" i="13"/>
  <c r="AT60" i="13"/>
  <c r="Y60" i="13"/>
  <c r="Y26" i="13"/>
  <c r="AT26" i="13"/>
  <c r="AT59" i="13"/>
  <c r="Y59" i="13"/>
  <c r="AT54" i="13"/>
  <c r="Y54" i="13"/>
  <c r="AT34" i="13"/>
  <c r="Y34" i="13"/>
  <c r="AT50" i="13"/>
  <c r="D23" i="15"/>
  <c r="AW20" i="13"/>
  <c r="Y20" i="13"/>
  <c r="Y57" i="13"/>
  <c r="AT57" i="13"/>
  <c r="AT56" i="13"/>
  <c r="Y56" i="13"/>
  <c r="AT62" i="13"/>
  <c r="Y62" i="13"/>
  <c r="Y53" i="13"/>
  <c r="AT53" i="13"/>
  <c r="AT32" i="13"/>
  <c r="Y32" i="13"/>
  <c r="Y30" i="13"/>
  <c r="AT30" i="13"/>
  <c r="Y64" i="13"/>
  <c r="AT64" i="13"/>
  <c r="Y27" i="13"/>
  <c r="AT27" i="13"/>
  <c r="AB64" i="13"/>
  <c r="AC64" i="13" s="1"/>
  <c r="R7" i="14" s="1"/>
  <c r="AB54" i="13"/>
  <c r="AC54" i="13" s="1"/>
  <c r="H7" i="14" s="1"/>
  <c r="AB53" i="13"/>
  <c r="AC53" i="13" s="1"/>
  <c r="AB59" i="13"/>
  <c r="AC59" i="13" s="1"/>
  <c r="M7" i="14" s="1"/>
  <c r="AB62" i="13"/>
  <c r="AC62" i="13" s="1"/>
  <c r="P7" i="14" s="1"/>
  <c r="AB61" i="13"/>
  <c r="AC61" i="13" s="1"/>
  <c r="O7" i="14" s="1"/>
  <c r="AB58" i="13"/>
  <c r="AC58" i="13" s="1"/>
  <c r="L7" i="14" s="1"/>
  <c r="AB56" i="13"/>
  <c r="AC56" i="13" s="1"/>
  <c r="J7" i="14" s="1"/>
  <c r="AB57" i="13"/>
  <c r="AC57" i="13" s="1"/>
  <c r="K7" i="14" s="1"/>
  <c r="AB55" i="13"/>
  <c r="AB60" i="13"/>
  <c r="AB63" i="13"/>
  <c r="AT23" i="13"/>
  <c r="Y23" i="13"/>
  <c r="B24" i="15"/>
  <c r="C7" i="14"/>
  <c r="AC55" i="13"/>
  <c r="I7" i="14" s="1"/>
  <c r="AC63" i="13"/>
  <c r="Q7" i="14" s="1"/>
  <c r="AC60" i="13"/>
  <c r="N7" i="14" s="1"/>
  <c r="AC65" i="13" l="1"/>
  <c r="G7" i="14"/>
  <c r="S5" i="14"/>
  <c r="F5" i="14"/>
  <c r="C22" i="15"/>
  <c r="E5" i="14"/>
  <c r="Y35" i="13"/>
  <c r="AW35" i="13"/>
  <c r="F4" i="14"/>
  <c r="E4" i="14"/>
  <c r="C21" i="15"/>
  <c r="S4" i="14"/>
  <c r="AT65" i="13"/>
  <c r="D24" i="15"/>
  <c r="AT35" i="13"/>
  <c r="AB65" i="13"/>
  <c r="Y65" i="13"/>
  <c r="D7" i="14" s="1"/>
  <c r="AW65" i="13"/>
  <c r="G23" i="15"/>
  <c r="F23" i="15"/>
  <c r="G21" i="15" l="1"/>
  <c r="F21" i="15"/>
  <c r="G22" i="15"/>
  <c r="F22" i="15"/>
  <c r="C24" i="15"/>
  <c r="S7" i="14"/>
  <c r="F7" i="14"/>
  <c r="E7" i="14"/>
  <c r="G24" i="15" l="1"/>
  <c r="F24" i="15"/>
</calcChain>
</file>

<file path=xl/sharedStrings.xml><?xml version="1.0" encoding="utf-8"?>
<sst xmlns="http://schemas.openxmlformats.org/spreadsheetml/2006/main" count="1778" uniqueCount="613">
  <si>
    <t>ThinknSolv © copyright 2026 CONFIDENTIEL   |   Historique virtuel genere par IA   |   ⚠ STATUT : onglet NON utilisé par le moteur actif (Données/Combinée/Simplifiée/Synthèse/Recommandation) — aucune formule n'y fait référence. Conservé pour traçabilité de la donnée source d'origine.</t>
  </si>
  <si>
    <t xml:space="preserve">PRODUIT A — Stable (~+2,5 %/an)  </t>
  </si>
  <si>
    <t>Mois</t>
  </si>
  <si>
    <t>Y-3</t>
  </si>
  <si>
    <t>Y-2</t>
  </si>
  <si>
    <t>Y-1</t>
  </si>
  <si>
    <t>Produit A (stable)</t>
  </si>
  <si>
    <t>Produit B (très saisonnier)</t>
  </si>
  <si>
    <t>jan</t>
  </si>
  <si>
    <t>Croissance</t>
  </si>
  <si>
    <t>~+2,5 %/an</t>
  </si>
  <si>
    <t>~+5 %/an</t>
  </si>
  <si>
    <t>fev</t>
  </si>
  <si>
    <t>Profil</t>
  </si>
  <si>
    <t>Faible variance mensuelle, léger pic automne</t>
  </si>
  <si>
    <t>Creux estival extrême (juin &lt; 2 %), pic hivernal (oct-déc ≈ 70 % du CA)</t>
  </si>
  <si>
    <t>mar</t>
  </si>
  <si>
    <t>Promos</t>
  </si>
  <si>
    <t>fév +10 %, mar +10 %</t>
  </si>
  <si>
    <t>juin +10 % (déstockage), nov +20 % (pré-fêtes)</t>
  </si>
  <si>
    <t>avr</t>
  </si>
  <si>
    <t>mai</t>
  </si>
  <si>
    <t>jun</t>
  </si>
  <si>
    <t>jul</t>
  </si>
  <si>
    <t>aou</t>
  </si>
  <si>
    <t>sep</t>
  </si>
  <si>
    <t>oct</t>
  </si>
  <si>
    <t>nov</t>
  </si>
  <si>
    <t>dec</t>
  </si>
  <si>
    <t>TOTAL</t>
  </si>
  <si>
    <t xml:space="preserve">PRODUIT B — Très saisonnier (~+5 %/an)  </t>
  </si>
  <si>
    <t>ThinknSolv © copyright 2026 CONFIDENTIEL   |   Methode de prevision classique et simple d'Excel   |   ⚠ STATUT : onglet NON utilisé par le moteur actif — aucune formule n'y fait référence. Conservé à titre de comparaison (méthode Excel native).</t>
  </si>
  <si>
    <t>Timeline</t>
  </si>
  <si>
    <t>Values</t>
  </si>
  <si>
    <t>Forecast</t>
  </si>
  <si>
    <t>Lower Confidence Bound</t>
  </si>
  <si>
    <t>Upper Confidence Bound</t>
  </si>
  <si>
    <t>confidence thresold 95%</t>
  </si>
  <si>
    <t>ThinknSolv © copyright 2026 CONFIDENTIEL   |   MÉTHODE INITIALE (V1)  —  TREND OLS mensuel + facteur annuel + promo   |   ⚠ STATUT : onglet NON utilisé par le moteur actif — Promo/Bonus ont été migrés vers l'onglet Données (ne référence plus cet onglet). Conservé pour audit de la méthode V1 d'origine.</t>
  </si>
  <si>
    <t>PLAN DE VENTES — PRÉVISION ANNUELLE  |  Modèle : tendance OLS mensuelle + facteur tendance annuelle + promo multiplicatif</t>
  </si>
  <si>
    <t>mois</t>
  </si>
  <si>
    <t>produit</t>
  </si>
  <si>
    <t>promo</t>
  </si>
  <si>
    <t>bonus_promo</t>
  </si>
  <si>
    <t>average Y-3</t>
  </si>
  <si>
    <t>average Y-2</t>
  </si>
  <si>
    <t>average Y-1</t>
  </si>
  <si>
    <t>prévision Y (linéaire)</t>
  </si>
  <si>
    <t>facteur_trend_annuel</t>
  </si>
  <si>
    <t>méthode / notes</t>
  </si>
  <si>
    <t>A</t>
  </si>
  <si>
    <t>Formule H = 50%×OLS_mensuel + 50%×(G×I15) × (1+promo×bonus) — bleu=saisie, noir=formule, violet=facteur annuel.</t>
  </si>
  <si>
    <t>Promo fév +10% : H = base_tendance × 1,10</t>
  </si>
  <si>
    <t>Promo mar +10%</t>
  </si>
  <si>
    <t>Produit A stable : faible variance inter-mensuelle, tendance haussière régulière ~+2,5%/an.</t>
  </si>
  <si>
    <t>TOTAL PRODUIT A</t>
  </si>
  <si>
    <t>I15 = TREND(E15:G15,{1,2,3},4)/G15  → extrapolation TREND sur les totaux annuels ÷ Y-1  = ratio prévision_Y / réalisé_Y-1.  Remplacer {1,2,3} par une plage si on ajoute Y-4 (colonne D ou nouvelle col.).</t>
  </si>
  <si>
    <t>PRODUIT B  —  Profil TRÈS SAISONNIER  (pic fort oct-nov-déc ≈ 70 % du CA)  |  Croissance ~+5 %/an  |  Promos : juin (déstockage) + novembre (pré-fêtes)</t>
  </si>
  <si>
    <t>B</t>
  </si>
  <si>
    <t>Produit B très saisonnier : creux estival (jun-août &lt; 2 %/mois), pic hivernal (oct-déc ≈ 70 % du CA annuel).</t>
  </si>
  <si>
    <t>Creux extrême (avr) : indice saisonnier ≈ 0,28 × moyenne mensuelle.</t>
  </si>
  <si>
    <t>Promo déstockage juin +10 % : opération été pour lisser le creux saisonnier.</t>
  </si>
  <si>
    <t>Sep : début de la montée en charge saisonnière — phase pré-fêtes.</t>
  </si>
  <si>
    <t>Oct : accélération saisonnière, indice S ≈ 1,55.</t>
  </si>
  <si>
    <t>Promo pré-fêtes nov +20 % : mois à très fort levier promotionnel.</t>
  </si>
  <si>
    <t>Pic déc ≈ 32 % du CA annuel Y-1. Indice saisonnier S ≈ 3,91.</t>
  </si>
  <si>
    <t>TOTAL PRODUIT B</t>
  </si>
  <si>
    <t>I30 = TREND(E30:G30,{1,2,3},4)/G30  → même logique que I15 pour Produit B.  Croissance B ≈ +5 %/an → facteur ≈ 1,048.</t>
  </si>
  <si>
    <t>LÉGENDE :  🔵 Bleu (0070C0) = saisie (données historiques E/F/G, paramètres promo C/D)  |  ⚫ Noir = formule (H prévision)  |  🟣 Violet = facteur auxiliaire (I15/I30)  |  🟢 Italique vert = notes méthodo</t>
  </si>
  <si>
    <t>TÂCHE 4 — MÉTHODE OPTIMISÉE DE FORECAST  |  3 ans historiques × saisonnalité × correction tendance annuelle × promo</t>
  </si>
  <si>
    <t>FORMULE IMPLÉMENTÉE
(dans ce fichier)</t>
  </si>
  <si>
    <t>H = ROUND( [0,5 × TREND(E:G,{1,2,3},4)  +  0,5 × G × I_totals] × (1+promo×bonus) , 1 )
  • TREND(Ex:Gx,{1,2,3},4) : régression linéaire OLS sur les 3 années historiques (x=1→Y-3, 2→Y-2, 3→Y-1)
    extrapolée à x=4 (année Y). Équivalent manuel : MOYENNE(E:G)+(G−E) = (4G+F−2E)/3.
    TREND est préférable : auto-documenté, extensible à Y-4 en élargissant la plage sans modifier la logique.
  • G × I15 : Y-1 mensuel × facteur TREND sur totaux annuels [I15=TREND(E15:G15,{1,2,3},4)/G15]
    → signal global de croissance issu des totaux ligne 15/30 (correction si tendances mensuelles erratiques).
  • Poids 50/50 ajustable : +poids TREND mensuel si données stables ; +poids signal annuel si mois bruités.</t>
  </si>
  <si>
    <t>AMÉLIORATION 1
Indices saisonniers pondérés
(plus robuste)</t>
  </si>
  <si>
    <t>Étape A — Calculer S(m,Yk) = ventes(m,Yk) / [total_annuel(Yk)/12]  pour chaque mois m et année Yk
Étape B — Pondérer : S_moy(m) = 0,20×S(m,Y-3) + 0,30×S(m,Y-2) + 0,50×S(m,Y-1)  [plus de poids sur le récent]
Étape C — Prévision_base(m,Y) = (total_Y_prédit / 12) × S_moy(m)  où total_Y_prédit = G15 + (G15−E15)/2
Étape D — Prévision_finale = Prévision_base × (1 + promo×bonus)
Avantage : robuste aux valeurs aberrantes ponctuelles, capture la déformation progressive du profil saisonnier.</t>
  </si>
  <si>
    <t>AMÉLIORATION 2
Holt-Winters triple lissage
(idéal pour Produit B)</t>
  </si>
  <si>
    <t>Triple lissage exponentiel (méthode multiplicative recommandée pour amplitude saisonnière forte) :
  Lₜ = α×(Yₜ/Sₜ₋ₘ) + (1−α)(Lₜ₋₁+Tₜ₋₁)   [niveau]
  Tₜ = β×(Lₜ−Lₜ₋₁) + (1−β)Tₜ₋₁             [tendance]
  Sₜ = γ×(Yₜ/Lₜ) + (1−γ)Sₜ₋ₘ               [saisonnalité, m=12]
Paramètres α,β,γ ∈ [0,1] calibrés par minimisation RMSE sur les 36 mois historiques.
Implémentation : Python statsmodels.tsa.holtwinters.ExponentialSmoothing | R : forecast::hw() | Excel : solver sur RMSE.</t>
  </si>
  <si>
    <t>AMÉLIORATION 3
Régression multi-facteurs
(test statistique promo)</t>
  </si>
  <si>
    <t>Modèle log-linéaire : ln(Ventes(m,Y)) = β₀ + β₁×t + Σ₂¹²βₘ×Moisₘ + β₁₃×Promo + β₁₄×Bonus + ε
  → β₁₃ et β₁₄ mesurent l'uplift net de la promotion avec intervalle de confiance → décision budget promo fondée
  → Validation croisée Leave-One-Year-Out : entraîner sur Y-3+Y-2 → tester sur Y-1
Recommandé si : promos variées en fréquence/intensité, ou simulation de scénarios (promo×canal×région).
Minimum de données : 36 obs. par produit (3 ans × 12 mois). Logiciels : Python statsmodels, R lm(), Excel Régression.</t>
  </si>
  <si>
    <t>KPI DE PILOTAGE
&amp; RÉVISION ROLLING</t>
  </si>
  <si>
    <t>MAPE = (1/n)×Σ|Réel−Prévu|/Réel×100  →  Cibles : Produit A &lt; 8 % | Produit B &lt; 15 % (saisonnier)
Biais = (1/n)×Σ(Réel−Prévu)  →  si biais &gt; 0 pendant 2 mois consécutifs : modèle sous-estime → recalibrer
Tracking Signal = Σ(Réel−Prévu) / MAD  →  seuil d'alerte : |TS| &gt; 4
Rolling forecast mensuel : recalculer H sur 12 mois glissants dès la saisie du réalisé du mois précédent.
Révision trimestrielle des poids (α,β,γ ou pondérations OLS/annuel) si MAPE se dégrade &gt; 2 mois.</t>
  </si>
  <si>
    <t>AJUSTEMENT PROMO
Optimisé &amp; traçabilité</t>
  </si>
  <si>
    <t>Elasticité mesurée : ΔVentes% / ΔBonus%  →  calculer sur les mois avec/sans promo des années passées
Si promo récurrente (même mois, même format) : utiliser uplift moyen observé Y-3/Y-2/Y-1 plutôt que bonus forfaitaire
Si nouvelle promo : benchmarks sectoriels ou test A/B sur sous-segment (zone géo, canal) avant généralisation
Cannibalism check : vérifier que les mois adjacents ne décroissent pas (report de demande vs création de demande)
Traçabilité : documenter chaque hypothèse promo en colonne J pour post-mortem systématique forecast vs réel.</t>
  </si>
  <si>
    <t>MAPE Produit A (back-test Y-1)</t>
  </si>
  <si>
    <t>→ Back-test : SUMPRODUCT(ABS(F×(F/E)−G)/G)/12  [entraîné Y-3+Y-2, prédit Y-1 jamais vu]</t>
  </si>
  <si>
    <t>MAPE Produit B (back-test Y-1)</t>
  </si>
  <si>
    <t>ThinknSolv © copyright 2026 CONFIDENTIEL   |   MÉTHODE OPTIMISÉE  —  Correction outliers + indices saisonniers pondérés + TREND + promo   |   ⚠ STATUT : onglet NON utilisé par le moteur actif — uniquement référencé par l'onglet Conclusion (tableaux comparatifs).</t>
  </si>
  <si>
    <t>MÉTHODE OPTIMISÉE (Tâche 4)  |  ① Détection outliers  ▸  ② Indices saisonniers pondérés  ▸  ③ TREND/FORECAST annuel  ▸  ④ Promo</t>
  </si>
  <si>
    <t>Pipeline :  brut (B/C/D) → détection outliers (G/H/I/J) → indices S (K/L/M/N) → Prév.base = TREND_adj/12 × Spondéré (O) → Prév.finale × promo (P) ‖ Comparaison : TREND direct(Q) | FORECAST direct(R) | V1(S)</t>
  </si>
  <si>
    <t>w1=Poids Y-3 =</t>
  </si>
  <si>
    <t>w2=Poids Y-2 =</t>
  </si>
  <si>
    <t>w3=Poids Y-1 =</t>
  </si>
  <si>
    <t>Σ =</t>
  </si>
  <si>
    <t>← doit = 1,00. Augmenter w3 pour donner plus de poids à l'année la plus récente.</t>
  </si>
  <si>
    <t>Seuil outlier (% écart/TREND) =</t>
  </si>
  <si>
    <t>← Modifier ce seuil (ex: 0,10=10% très sensible | 0,25=25% tolérant). Un outlier est détecté si |valeur_brute − TREND_ajusté(x)| / TREND_ajusté(x) &gt; seuil. La valeur est alors remplacée par la valeur ajustée TREND dans les colonnes G/H/I.</t>
  </si>
  <si>
    <t>PRODUIT A — Stable (~+2,5%/an)  |  Outlier injecté : Oct Y-2 = 155 (valeur brute) vs 123 (attendu) → détecté col J, corrigé col H</t>
  </si>
  <si>
    <t>Y-3
(brut)</t>
  </si>
  <si>
    <t>Y-2
(brut)</t>
  </si>
  <si>
    <t>Y-1
(brut)</t>
  </si>
  <si>
    <t>Promo</t>
  </si>
  <si>
    <t>Bonus</t>
  </si>
  <si>
    <t>Adj Y-3
(corr.)</t>
  </si>
  <si>
    <t>Adj Y-2
(corr.)</t>
  </si>
  <si>
    <t>Adj Y-1
(corr.)</t>
  </si>
  <si>
    <t>Alertes
⚠ outlier</t>
  </si>
  <si>
    <t>Ind.S
Y-3</t>
  </si>
  <si>
    <t>Ind.S
Y-2</t>
  </si>
  <si>
    <t>Ind.S
Y-1</t>
  </si>
  <si>
    <t>S pondéré
w1K+w2L+w3M</t>
  </si>
  <si>
    <t>Prév.
Base</t>
  </si>
  <si>
    <t>Prév.
Finale</t>
  </si>
  <si>
    <t>TREND
direct (Q)</t>
  </si>
  <si>
    <t>FORECAST
direct (R)</t>
  </si>
  <si>
    <t>V1
(réf.)</t>
  </si>
  <si>
    <t>Écart
P−S</t>
  </si>
  <si>
    <t>Notes</t>
  </si>
  <si>
    <t>Promo +10%</t>
  </si>
  <si>
    <t>⚠ OCT Y-2 = 155 injecté (vs 123). Adj H17 = TREND ≈ 133.7. Voir col J : "⚠Y-2". Comparer col C (155) vs H (133.7).</t>
  </si>
  <si>
    <t>✔ K/L/M/N doivent chacune = 12,000 (Σ indices = 12 par construction). Si G20≠B20 ou H20≠C20 → des outliers ont été corrigés.</t>
  </si>
  <si>
    <t>O21 = TREND(G20:I20,{1,2,3},4)  → prévision annuelle Y sur TOTAUX AJUSTÉS (G/H/I) — référencé par $O$21 dans les formules O8:O19</t>
  </si>
  <si>
    <t>O22 = FORECAST(4,G20:I20,{1,2,3})  → IDENTIQUE à O21 (Q3 : FORECAST ≡ TREND pour une prédiction scalaire — FORECAST(x,y,k) = TREND(y,k,x))  |  Différence purement syntaxique</t>
  </si>
  <si>
    <t>PRODUIT B — Très saisonnier (~+5%/an)  |  Outlier injecté : Avr Y-2 = 40 (valeur brute) vs 21 (attendu) → détecté col J, corrigé col H</t>
  </si>
  <si>
    <t>⚠ AVR Y-2 = 40 injecté (vs 21). Adj H29 = TREND ≈ 27.3. Voir col J : "⚠Y-2". Comparer C (40) vs H (27.3).</t>
  </si>
  <si>
    <t>Promo déstockage +10%</t>
  </si>
  <si>
    <t>Début remontée pré-fêtes</t>
  </si>
  <si>
    <t>Accélération saisonnière</t>
  </si>
  <si>
    <t>Promo pré-fêtes +20%</t>
  </si>
  <si>
    <t>Pic décembre ≈ 32% du CA</t>
  </si>
  <si>
    <t>O39 = TREND(G38:I38,{1,2,3},4)  → prévision annuelle Y sur TOTAUX AJUSTÉS (G/H/I) — référencé par $O$39 dans les formules O26:O37</t>
  </si>
  <si>
    <t>O40 = FORECAST(4,G38:I38,{1,2,3})  → IDENTIQUE à O39 (Q3 : FORECAST ≡ TREND pour une prédiction scalaire — FORECAST(x,y,k) = TREND(y,k,x))  |  Différence purement syntaxique</t>
  </si>
  <si>
    <t>RÉPONSES Q1–Q4  |  État d'implémentation et explications</t>
  </si>
  <si>
    <t>Q1 — Améliorations implémentées
(sur les 5 proposées)</t>
  </si>
  <si>
    <t>✅ Amél.1 : Indices saisonniers pondérés (cols K/L/M/N, poids ajustables en B3/D3/F3)
✅ NOUVEAU Q4 : Détection &amp; correction outliers (seuil B4, colonnes G/H/I/J — formule IF+TREND)
✅ Promo multiplicatif (col P = O × (1+promo×bonus))
⬡ KPI MAPE : formule =ABS(P-Réel)/Réel disponible une fois les réalisés Y saisis (ajouter col "Réel Y")
❌ Amél.2 Holt-Winters : impossible en formules Excel — nécessite Python statsmodels ou VBA
❌ Amél.3 Régression multi-facteurs : idem — add-in "Analyse de données" Excel ou Python statsmodels</t>
  </si>
  <si>
    <t>Q2 — Où sont les résultats TREND ?</t>
  </si>
  <si>
    <t>• O21/O39 : TREND annuel sur totaux AJUSTÉS = =TREND(G20:I20,{1,2,3},4)  ← cellule clé pour la base mensuelle
• Col Q : TREND direct mensuel =TREND(G:I,{1,2,3},4) × promo, appliqué ligne par ligne sur données AJUSTÉES
• Avant (V1, col S) : TREND sur données BRUTES incluant les outliers → forecast biaisé sur les mois impactés
  Exemple Oct A : V1 (col S) ≈ 140 (distordu par Y-2=155) vs Méthode optimisée (col P) ≈ 133 (corrigé)
  Exemple global : un seul outlier dans F12 gonfle F15 → change I15 → perturbe TOUS les 12 mois de V1</t>
  </si>
  <si>
    <t>Q3 — TREND vs FORECAST : quelle différence ?</t>
  </si>
  <si>
    <t>Résultat : cols Q et R sont IDENTIQUES mois par mois → mathématiquement équivalents
Explication : les deux résolvent la même régression OLS (moindres carrés ordinaires)
  • TREND(known_y, known_x, new_x) : syntaxe orientée vecteur — retourne un tableau si new_x est un tableau
  • FORECAST(new_x, known_y, known_x) : syntaxe scalaire uniquement — arguments dans un ordre différent
Recommandation : FORECAST pour une prédiction unique (plus lisible) | TREND pour plusieurs prédictions en une seule formule
Comparer O21 (TREND) vs O22 (FORECAST) : valeurs identiques — confirme l'équivalence sur les totaux annuels</t>
  </si>
  <si>
    <t>Q4 — Détection &amp; retrait des outliers (seuil B4)</t>
  </si>
  <si>
    <t>Méthode : pour chaque mois m, les 3 valeurs (Y-3, Y-2, Y-1) sont comparées au TREND OLS ajusté
  Résidu Y-k = |valeur_brute(m,Yk) − TREND(Yk sur les 3 ans)| / TREND → si &gt; seuil B4 → ⚠ OUTLIER
  Formule col H (adj Y-2) : =IF(ABS(C−TREND(B:D,{1,2,3},2))/TREND(B:D,{1,2,3},2)&gt;$B$4, TREND(B:D,{1,2,3},2), C)
Outliers injectés dans cette démonstration :
  • Oct Y-2 Produit A : brut=155, TREND=133.7, écart=+16% &gt; 15% → ⚠Y-2 en col J, Adj=133.7 en col H
  • Avr Y-2 Produit B : brut=40,  TREND=27.3,  écart=+46% &gt; 15% → ⚠Y-2 en col J, Adj=27.3 en col H
Tester : mettre B4=0.05 pour détecter les moindres écarts | B4=0.30 pour n'attraper que les anomalies majeures</t>
  </si>
  <si>
    <t>→ Back-test : SUMPRODUCT(ABS(H×(H/G)−I)/I)/12  [entraîné Y-3+Y-2, prédit Y-1 jamais vu]</t>
  </si>
  <si>
    <t>ThinknSolv © copyright 2026 CONFIDENTIEL   |   DONNÉES — ventes brutes Y-N..Y-1 et hypothèses Promo/Bonus de Y, par produit (source Python/Combinée/Simplifiée)</t>
  </si>
  <si>
    <t>⚙ Modifiez les valeurs ci-dessous — Python, Combinée et Simplifiée les reprennent automatiquement par formule. Colonnes Y-N..Y-1 = ventes brutes (avant correction d'outlier). Colonnes Promo Y / Bonus Y = hypothèses pour l'année à prévoir (PAS un historique — Y seulement). Simplifiée garde ses propres valeurs de ventes corrigées, non liées à cet onglet.</t>
  </si>
  <si>
    <t>▶  PRODUIT A</t>
  </si>
  <si>
    <t>Y-5</t>
  </si>
  <si>
    <t>Y-4</t>
  </si>
  <si>
    <t>Promo Y</t>
  </si>
  <si>
    <t>Bonus Y</t>
  </si>
  <si>
    <t>Jan</t>
  </si>
  <si>
    <t>Fév</t>
  </si>
  <si>
    <t>Mar</t>
  </si>
  <si>
    <t>Avr</t>
  </si>
  <si>
    <t>Mai</t>
  </si>
  <si>
    <t>Jun</t>
  </si>
  <si>
    <t>Jul</t>
  </si>
  <si>
    <t>Aoû</t>
  </si>
  <si>
    <t>Sep</t>
  </si>
  <si>
    <t>Oct</t>
  </si>
  <si>
    <t>Nov</t>
  </si>
  <si>
    <t>Déc</t>
  </si>
  <si>
    <t>▶  PRODUIT B</t>
  </si>
  <si>
    <t>▶  PRODUIT C</t>
  </si>
  <si>
    <t>▶  PRODUIT D</t>
  </si>
  <si>
    <t>ThinknSolv © copyright 2026 CONFIDENTIEL   |   MÉTHODE PYTHON (H1/H2/H3)  —  H et T_app = valeurs Python  |  Reste = formules Excel   |   ⚠ STATUT : onglet NON utilisé par le moteur actif pour le CALCUL (Combinée/Simplifiée ne le référencent pas) — mais sert de garde-fou indépendant dans test_regression.py (vérifie que Combinée calcule les mêmes classes H1/H2/H3). Le retirer ferait perdre ce filet de sécurité.</t>
  </si>
  <si>
    <t>⚙ Colonnes O (H) et P (T_app) = valeurs calculées Python — non modifiables. Tout le reste = formules Excel recalculables.  |  DÉFINITION H1/H2/H3 : T-span = tendance longue (Y-N vs Y-1, toute la période) | T12 = tendance récente (Y-2 vs Y-1) | T3 = tendance du dernier trimestre (Oct-Déc). H1 : T-span≈T12≈T3 → tendance stable, on garde T-span. H2/H2b : T-span≠T12 ET T3 confirme l'un des deux → changement de tendance réel et durable, on bascule vers celui confirmé par T3 (jusqu'à 85 % de poids). H3 : T-span≈T12 MAIS T3 diverge → choc isolé au dernier trimestre, pas une vraie rupture, on reste proche de T-span/T12 malgré T3.</t>
  </si>
  <si>
    <t>⚙  PARAMÈTRES — modifiables ici, recalcul automatique</t>
  </si>
  <si>
    <t>Seuil détection outlier</t>
  </si>
  <si>
    <t>Si |brut−TREND|/TREND &gt; seuil → remplacé par TREND</t>
  </si>
  <si>
    <t>Seuil Saison Basse (SB)</t>
  </si>
  <si>
    <t>Ind. sais. pondéré &lt; 0,75 → mois classé SB</t>
  </si>
  <si>
    <t>Seuil Saison Haute (SH)</t>
  </si>
  <si>
    <t>Ind. sais. pondéré &gt; 1,20 → mois classé SH</t>
  </si>
  <si>
    <t>ε convergence H</t>
  </si>
  <si>
    <t>Seuil pour déclarer T-span≈T12 (H1/H3)</t>
  </si>
  <si>
    <t>Poids Y-5 (w1)</t>
  </si>
  <si>
    <t>Part de Y-5 dans l'indice sais. pondéré</t>
  </si>
  <si>
    <t>δmax H2</t>
  </si>
  <si>
    <t>Écart T-span/T12 au-delà duquel on passe à 85/15</t>
  </si>
  <si>
    <t>Poids Y-4 (w2)</t>
  </si>
  <si>
    <t>Part de Y-4</t>
  </si>
  <si>
    <t>H2 poids max T12</t>
  </si>
  <si>
    <t>Plafond de pondération pour T12 (H2)</t>
  </si>
  <si>
    <t>Poids Y-3 (w3)</t>
  </si>
  <si>
    <t>Part de Y-3</t>
  </si>
  <si>
    <t>Poids Y-2 (w4)</t>
  </si>
  <si>
    <t>Part de Y-2</t>
  </si>
  <si>
    <t>Poids Y-1 (w5)</t>
  </si>
  <si>
    <t>Part de Y-1 (plus de poids = plus réactif au récent)</t>
  </si>
  <si>
    <t>Vérif. Σ poids</t>
  </si>
  <si>
    <t>Doit = 1,00</t>
  </si>
  <si>
    <t>Poids croissance récente (w)</t>
  </si>
  <si>
    <t>Pour méthode Simplifiée : poids de G/F</t>
  </si>
  <si>
    <t>Poids ancien (1−w)</t>
  </si>
  <si>
    <t>Calculé auto</t>
  </si>
  <si>
    <t>Seuil alerte retournement</t>
  </si>
  <si>
    <t>Si |G/F−F/E| &gt; seuil → ⚡ accélération</t>
  </si>
  <si>
    <t>Alerte</t>
  </si>
  <si>
    <t>Ind.S</t>
  </si>
  <si>
    <t>S pond.</t>
  </si>
  <si>
    <t>Classif.</t>
  </si>
  <si>
    <t>H</t>
  </si>
  <si>
    <t>T appl.</t>
  </si>
  <si>
    <t>▶ Prév. Y</t>
  </si>
  <si>
    <t>Initiale</t>
  </si>
  <si>
    <t>Opt.</t>
  </si>
  <si>
    <t>Écart</t>
  </si>
  <si>
    <t>Prév. Y</t>
  </si>
  <si>
    <t>⚠ Alert</t>
  </si>
  <si>
    <t>brut</t>
  </si>
  <si>
    <t>corr. ✓F</t>
  </si>
  <si>
    <t>✓F</t>
  </si>
  <si>
    <t>Y-5 ✓F</t>
  </si>
  <si>
    <t>Y-4 ✓F</t>
  </si>
  <si>
    <t>Y-3 ✓F</t>
  </si>
  <si>
    <t>Y-2 ✓F</t>
  </si>
  <si>
    <t>Y-1 ✓F</t>
  </si>
  <si>
    <t>brute ✓F</t>
  </si>
  <si>
    <t>val. ✓F</t>
  </si>
  <si>
    <t>hyp.</t>
  </si>
  <si>
    <t>%/m</t>
  </si>
  <si>
    <t>K×(1+V)×promo</t>
  </si>
  <si>
    <t>réf.</t>
  </si>
  <si>
    <t>Q-S</t>
  </si>
  <si>
    <t>Simplif. ✓F</t>
  </si>
  <si>
    <t>retourn. ✓F</t>
  </si>
  <si>
    <t>T-span/s</t>
  </si>
  <si>
    <t>T12/s</t>
  </si>
  <si>
    <t>T3/s</t>
  </si>
  <si>
    <t>w_H2</t>
  </si>
  <si>
    <t>flag 0/1</t>
  </si>
  <si>
    <t>mult.</t>
  </si>
  <si>
    <t>▶  PRODUIT A  | Non saisonnier (Oct SH) | +~2,4%/an | Profil H1 : tendance stable, sans saisonnalité</t>
  </si>
  <si>
    <t>H1</t>
  </si>
  <si>
    <t>H2</t>
  </si>
  <si>
    <t>→ Back-test : SUMPRODUCT(ABS(J×(J/I)−K)/K)/12  [entraîné Y-3+Y-2, prédit Y-1 jamais vu]</t>
  </si>
  <si>
    <t>▶  PRODUIT B  | Très saisonnier (Oct-Déc SH | Fév-Sep SB | Jan NS) | +~5,4%/an | Profil H1 : tendance stable, forte saisonnalité</t>
  </si>
  <si>
    <t>▶  PRODUIT C  | Non saisonnier | +1%/an (Y-5..Y-3) puis +15%/an (Y-2..Y-1) | Profil H2 : rupture de tendance récente et durable</t>
  </si>
  <si>
    <t>n/a</t>
  </si>
  <si>
    <t>MAPE Produit C (back-test Y-1)</t>
  </si>
  <si>
    <t>▶  PRODUIT D  | Non saisonnier | +5%/an constant, sauf Oct-Nov-Déc de Y-1 (+20%) | Profil H3 : choc ponctuel au dernier trimestre</t>
  </si>
  <si>
    <t>H3</t>
  </si>
  <si>
    <t>MAPE Produit D (back-test Y-1)</t>
  </si>
  <si>
    <t>ThinknSolv © copyright 2026 CONFIDENTIEL   |   MÉTHODE COMBINÉE — Toutes formules Excel | H1/H2/H3 + T YoY par saison | Helpers W/X/Y/Z</t>
  </si>
  <si>
    <t>✅ Toutes les colonnes en formules Excel. Colonnes W/X/Y/Z (helpers gris) = T-span/T12/T3/w par saison.  |  DÉFINITION H1/H2/H3 : T-span = tendance longue (Y-N vs Y-1, toute la période) | T12 = tendance récente (Y-2 vs Y-1) | T3 = tendance du dernier trimestre (Oct-Déc). H1 : T-span≈T12≈T3 → tendance stable, on garde T-span. H2/H2b : T-span≠T12 ET T3 confirme l'un des deux → changement de tendance réel et durable, on bascule vers celui confirmé par T3 (jusqu'à 85 % de poids). H3 : T-span≈T12 MAIS T3 diverge → choc isolé au dernier trimestre, pas une vraie rupture, on reste proche de T-span/T12 malgré T3.</t>
  </si>
  <si>
    <t>Réel Y</t>
  </si>
  <si>
    <t>Écart %</t>
  </si>
  <si>
    <t>Suggestion</t>
  </si>
  <si>
    <t>Commandes Y</t>
  </si>
  <si>
    <t>saisie manuelle</t>
  </si>
  <si>
    <t>vs Combinée (Q)</t>
  </si>
  <si>
    <t>vs Simplifiée</t>
  </si>
  <si>
    <t>si 3 mois conséc.
&gt;±B16 (ventes,
pas commandes)</t>
  </si>
  <si>
    <t>mois livraison</t>
  </si>
  <si>
    <t>commandes vs Q (affichage seul)</t>
  </si>
  <si>
    <t>ThinknSolv © copyright 2026 CONFIDENTIEL   |   MÉTHODE SIMPLIFIÉE  —  =G×(w×G/F + (1−w)×F/E)×(1+promo×bonus)  +  alerte retournement  |  3 paramètres (B3/B4/B5)  |  ⚠ Prévision 5Y (col. M/J selon produit) : RÉUTILISE le même poids w (B3/B4) — pas de poids séparés par année comme dans Combinée. Seul le ratio « ancien » change : Y-2/Y-3 (3Y) devient (Y-1/Y-5)^(1/4) annualisé (5Y).</t>
  </si>
  <si>
    <t>PARAMÈTRES — tous modifiables, recalcul immédiat</t>
  </si>
  <si>
    <t>Poids récent (w)</t>
  </si>
  <si>
    <t>Part de la croissance Y-1/Y-2 dans la prévision (défaut 0,70)</t>
  </si>
  <si>
    <t>Calculé auto = 1 − B3</t>
  </si>
  <si>
    <t>Seuil alerte</t>
  </si>
  <si>
    <t>|G/F − F/E| &gt; seuil → ⚡ accélération   |   signes opposés → ⚠ retournement</t>
  </si>
  <si>
    <t>Y-3 corr.</t>
  </si>
  <si>
    <t>Y-2 corr.</t>
  </si>
  <si>
    <t>Y-1 corr.</t>
  </si>
  <si>
    <t>▶ Prévision 3Y</t>
  </si>
  <si>
    <t>Écart vs Y-1</t>
  </si>
  <si>
    <t>Δ% vs Y-1</t>
  </si>
  <si>
    <t>Y-5 corr.</t>
  </si>
  <si>
    <t>Y-4 corr.</t>
  </si>
  <si>
    <t>▶ Prévision 5Y</t>
  </si>
  <si>
    <t>Écart 5Y-3Y</t>
  </si>
  <si>
    <t>▶  PRODUIT A — Non saisonnier (Oct SH)</t>
  </si>
  <si>
    <t>▶  PRODUIT B — Très saisonnier (Oct-Déc SH | Fév-Sep SB | Jan NS)</t>
  </si>
  <si>
    <t>▶  PRODUIT C — Non saisonnier | Rupture de tendance | Comparaison Simplifiée 3Y vs 5Y</t>
  </si>
  <si>
    <t>⚙ Prév. 3Y = même formule que ci-dessus (Y-3/Y-2/Y-1 uniquement). Prév. 5Y = même poids w, mais le ratio « ancien » utilise Y-1/Y-5 annualisé au lieu de Y-2/Y-3 — teste si regarder plus loin dans l'historique amortit la rupture de tendance de ce produit.</t>
  </si>
  <si>
    <t>▶ Prév. 3Y</t>
  </si>
  <si>
    <t>▶ Prév. 5Y</t>
  </si>
  <si>
    <t>MAPE Produit C (back-test Y-1, hors promo)</t>
  </si>
  <si>
    <t>▶  PRODUIT D — Non saisonnier | Choc ponctuel dernier trimestre | Comparaison Simplifiée 3Y vs 5Y</t>
  </si>
  <si>
    <t>⚙ Même principe que Produit C. Ce produit teste l'autre sens : tendance longue et récente concordent (pas de rupture) mais le dernier trimestre de Y-1 diverge — la 5Y devrait ici être proche de la 3Y (pas de rupture à amortir), contrairement au Produit C.</t>
  </si>
  <si>
    <t>MAPE Produit D (back-test Y-1, hors promo)</t>
  </si>
  <si>
    <t>ThinknSolv © copyright 2026 CONFIDENTIEL   |   SYNTHÈSE — Python/Combinée vs Simplifiée (3Y et 5Y) sur les 4 profils produits</t>
  </si>
  <si>
    <t>⚙ Toutes les valeurs sont des formules liées aux onglets sources (recalcul automatique).</t>
  </si>
  <si>
    <t>1.  PRÉCISION — BACK-TEST SUR L'HISTORIQUE (HORS PROMO)</t>
  </si>
  <si>
    <t>Compare Y-1 réel (corrigé des outliers) à Y-1 « prédit » à partir de Y-3/Y-2 uniquement (jamais vu au moment de la prédiction) — sans promo, pour isoler la logique tendance/saisonnalité. Mêmes valeurs pour Simplifiée 3Y et 5Y : le back-test ne teste pas la formule de prévision, seulement les données corrigées en amont (identiques pour les deux variantes).</t>
  </si>
  <si>
    <t>Produit</t>
  </si>
  <si>
    <t>Classe H</t>
  </si>
  <si>
    <t>Python/
Combinée</t>
  </si>
  <si>
    <t>Simplifiée
3Y</t>
  </si>
  <si>
    <t>Simplifiée
5Y</t>
  </si>
  <si>
    <t>Écart max</t>
  </si>
  <si>
    <t>Conclusion</t>
  </si>
  <si>
    <t>Quasi identiques — précision non différenciante, simplicité décide.</t>
  </si>
  <si>
    <t>C</t>
  </si>
  <si>
    <t>D</t>
  </si>
  <si>
    <t>2.  PRÉVISION Y PAR MODÈLE — AVEC PROMO (TOTAL 12 MOIS)</t>
  </si>
  <si>
    <t>Recommandation</t>
  </si>
  <si>
    <t>Simplifiée — précision équivalente (§1), plus simple.</t>
  </si>
  <si>
    <t>Divergent (~14 %) — sens inconnu sans les vraies données Y (colonnes « Réel Y », Conclusion). Ne pas trancher sur ce seul écart.</t>
  </si>
  <si>
    <t>Combinée — Simplifiée extrapole le choc ponctuel comme une tendance durable (voir §3 ci-dessous), Combinée le reconnaît comme isolé.</t>
  </si>
  <si>
    <t>3.  FOCUS PRODUIT D — POURQUOI COMBINÉE EST RECOMMANDÉE</t>
  </si>
  <si>
    <t>Oct-Nov-Déc de Y-1 ont un choc isolé (+20% au lieu de +5%/an). Simplifiée (3Y et 5Y) extrapole ce choc comme si c'était la nouvelle tendance ; Combinée le reconnaît (classification H3) et prévoit une valeur bien plus proche de la tendance de fond +5%/an.</t>
  </si>
  <si>
    <t>Python/Combinée</t>
  </si>
  <si>
    <t>Simplifiée 3Y</t>
  </si>
  <si>
    <t>Simplifiée 5Y</t>
  </si>
  <si>
    <t>Écart Simp3Y vs Combinée</t>
  </si>
  <si>
    <t>4.  RECOMMANDATIONS PRATIQUES</t>
  </si>
  <si>
    <t>Produits stables (type A/B — H1)</t>
  </si>
  <si>
    <t>Déployer Simplifiée. Précision équivalente à Combinée sur le back-test (§1), formule auditable en 30 secondes, aucune dépendance externe. Le choix 3Y/5Y n'a pas d'importance ici (tendance stable, pas de rupture à amortir).</t>
  </si>
  <si>
    <t>Produits en rupture de tendance (type C — H2)</t>
  </si>
  <si>
    <t>Le back-test (§1) ne différencie pas les méthodes, mais la prévision Y (§2) diverge (~14 %). Utiliser les colonnes « Réel Y » (Conclusion) dès que les vraies valeurs sont connues pour trancher objectivement — ne pas se fier à une intuition.</t>
  </si>
  <si>
    <t>Produits à choc ponctuel (type D — H3)</t>
  </si>
  <si>
    <t>Préférer Combinée (ou au minimum vérifier la classification H1/H2/H3 avant de valider une prévision Simplifiée). Simplifiée n'a aucun mécanisme pour distinguer un choc isolé d'une vraie rupture — elle extrapole les deux de la même façon (§3).</t>
  </si>
  <si>
    <t>Méthode pratique</t>
  </si>
  <si>
    <t>Regarder la classification H (onglet Combinée, colonne H) avant de choisir : H1 → Simplifiée suffit. H2 → comparer §2, rester prudent en attendant le Réel Y. H3 → privilégier Combinée ou au moins croiser les deux prévisions.</t>
  </si>
  <si>
    <t>5.  INTERVALLE DE PRÉDICTION (EMPIRIQUE) — 4 PRODUITS</t>
  </si>
  <si>
    <t>⚠ Approche empirique, pas un vrai modèle économétrique : traite les 12 erreurs mensuelles du back-test (§1, Python/Combinée) comme un échantillon, calcule leur écart-type, et applique t(0,975 ; ddl=11) pour une largeur ≈95 %. Avec seulement 12 observations et sans certitude sur la normalité/indépendance des erreurs, c'est un ordre de grandeur indicatif, pas une preuve statistique rigoureuse (cf. Conclusion §7, encadré LIMITE FONDAMENTALE).</t>
  </si>
  <si>
    <t>Prévision Y
(point)</t>
  </si>
  <si>
    <t>σ back-test
(12 erreurs)</t>
  </si>
  <si>
    <t>t(0,975;11)</t>
  </si>
  <si>
    <t>Demi-largeur
(±, ~95%)</t>
  </si>
  <si>
    <t>Borne basse</t>
  </si>
  <si>
    <t>Borne haute</t>
  </si>
  <si>
    <t>ThinknSolv © copyright 2026 CONFIDENTIEL   |   CONCLUSION — Comparaison des méthodes de prévision de ventes   |   ⚠ STATUT : onglet NON utilisé par le moteur actif — aucun onglet n'en dépend. Contient la documentation méthodologique complète (définitions, comparatifs, limites statistiques).</t>
  </si>
  <si>
    <t>4 produits, 2 axes testés : saisonnalité (A/B) et stabilité de tendance (A/B vs C vs D) — voir §1</t>
  </si>
  <si>
    <t>1.  LES 4 PRODUITS — PROFILS ET OBJECTIF PÉDAGOGIQUE</t>
  </si>
  <si>
    <t>Chaque produit teste une chose différente. A/B partagent un axe (saisonnalité : aucune vs forte) mais ont tous les deux une tendance stable (H1). C et D testent l'autre axe (stabilité de la tendance elle-même) : C = rupture récente et durable (H2), D = choc isolé au dernier trimestre (H3).</t>
  </si>
  <si>
    <t>Saisonnalité</t>
  </si>
  <si>
    <t>Tendance</t>
  </si>
  <si>
    <t>Ce que ça teste</t>
  </si>
  <si>
    <t>Aucune (Oct SH isolé)</t>
  </si>
  <si>
    <t>Stable, +2,4%/an</t>
  </si>
  <si>
    <t>Cas de référence — pas de saisonnalité, pas de rupture</t>
  </si>
  <si>
    <t>Forte (pic Oct-Déc ≈70% du CA)</t>
  </si>
  <si>
    <t>Stable, +5,4%/an</t>
  </si>
  <si>
    <t>Forte saisonnalité, mais tendance sous-jacente stable</t>
  </si>
  <si>
    <t>Aucune</t>
  </si>
  <si>
    <t>Rupture récente : +1%/an puis +15%/an</t>
  </si>
  <si>
    <t>Une méthode s'adapte-t-elle à un changement de régime durable ?</t>
  </si>
  <si>
    <t>Stable +5%/an, sauf choc ponctuel Oct-Déc de Y-1</t>
  </si>
  <si>
    <t>Une méthode confond-elle un choc isolé avec une vraie rupture ?</t>
  </si>
  <si>
    <t>⚙ DÉFINITION DES CLASSES H (colonne H, onglets Python/Combinée) : T-span = tendance longue (Y-N vs Y-1, toute la période) | T12 = tendance récente (Y-2 vs Y-1) | T3 = tendance du dernier trimestre (Oct-Déc). H1 : les 3 concordent → tendance stable. H2/H2b : T-span≠T12 ET T3 confirme l'un des deux → changement de tendance réel et durable. H3 : T-span≈T12 MAIS T3 diverge → choc isolé au dernier trimestre, pas une vraie rupture. (Même légende disponible directement dans les onglets Python/Combinée, ligne 2.)</t>
  </si>
  <si>
    <t>2.  CRITÈRE DE JUGEMENT — MAPE back-test</t>
  </si>
  <si>
    <t>Le MAPE in-sample (entraîné et testé sur les mêmes données) est trompeur : la méthode qui prédit presque ce qu elle a vu obtient mécaniquement un score flatteur. Le seul critère honnête est le MAPE en back-test : on entraîne sur Y-3 et Y-2, on prédit Y-1 (jamais vu), on compare avec le réel.</t>
  </si>
  <si>
    <t>3.  LES 5 MÉTHODES — DESCRIPTION ET AUDITABILITÉ</t>
  </si>
  <si>
    <t>Méthode</t>
  </si>
  <si>
    <t>Principe</t>
  </si>
  <si>
    <t>Auditabilité (transparence des formules)</t>
  </si>
  <si>
    <t>Méthode 0</t>
  </si>
  <si>
    <t>Fonction native Excel (prévision sur série temporelle), sortie collée en valeurs.</t>
  </si>
  <si>
    <t>❌ Faible — aucune formule visible dans le classeur, calcul fait par une boîte noire Excel non réexécutable ici.</t>
  </si>
  <si>
    <t>Initiale (V1)</t>
  </si>
  <si>
    <t>TREND OLS par mois (3 pts Y-3/Y-2/Y-1) pondéré 50/50 avec un facteur de tendance annuelle sur les totaux, + promo.</t>
  </si>
  <si>
    <t>✅ Bonne — formule unique par mois (col H), 100% Excel, mais dépend d'une cellule totaux ($I$17/$I$32) facile à casser par inadvertance (cf. bug corrigé).</t>
  </si>
  <si>
    <t>Optimisée</t>
  </si>
  <si>
    <t>Détection/correction d'outliers (seuil B6) + indices saisonniers pondérés (poids B5/D5/F5) + TREND sur totaux ajustés + promo.</t>
  </si>
  <si>
    <t>✅ Bonne — tout en formules Excel, mais pipeline en 6 étapes (colonnes G→Q) : plus long à auditer ligne par ligne qu'un modèle à une seule formule.</t>
  </si>
  <si>
    <t>Simplifiée</t>
  </si>
  <si>
    <t>Une formule par mois : =Y-1×(w×Y-1/Y-2 + (1−w)×Y-2/Y-3)×(1+promo×bonus). 3 paramètres seulement (B3/B4/B5).</t>
  </si>
  <si>
    <t>✅✅ Excellente — 1 formule, 3 paramètres, lisible et vérifiable en quelques secondes par n'importe qui, sans connaître le reste du classeur.</t>
  </si>
  <si>
    <t>Python</t>
  </si>
  <si>
    <t>Logique H1/H2/H3 (comparaison T-span/T12/T3 par saison) calibrée hors Excel, puis les valeurs H et T_app collées en dur (colonnes O/P).</t>
  </si>
  <si>
    <t>❌ Faible sur O/P — ces 2 colonnes sont des valeurs figées non recalculables dans Excel ; le reste du classeur est auditable mais la logique de décision H1/H2/H3 elle-même est une boîte noire ici.</t>
  </si>
  <si>
    <t>Combinée</t>
  </si>
  <si>
    <t>Même logique H1/H2/H3 que Python, mais recalculée entièrement en formules Excel (colonnes W/X/Y/Z + IF imbriqués en O/P).</t>
  </si>
  <si>
    <t>✅ Bonne — 100% Excel donc recalculable, mais formules imbriquées denses (voir O/P) : demande plus d'effort de lecture qu'une formule simple.</t>
  </si>
  <si>
    <t>4.  TABLEAU COMPARATIF DES MÉTHODES</t>
  </si>
  <si>
    <t>Complexité</t>
  </si>
  <si>
    <t>Paramètres</t>
  </si>
  <si>
    <t>Formules
Excel ?</t>
  </si>
  <si>
    <t>Dépend.
Python ?</t>
  </si>
  <si>
    <t>MAPE BT
Prod. A</t>
  </si>
  <si>
    <t>MAPE BT
Prod. B</t>
  </si>
  <si>
    <t>Cas fort</t>
  </si>
  <si>
    <t>Cas faible</t>
  </si>
  <si>
    <t>Méthode 0 (brut Excel)</t>
  </si>
  <si>
    <t>⭐</t>
  </si>
  <si>
    <t>0</t>
  </si>
  <si>
    <t>Oui</t>
  </si>
  <si>
    <t>Non</t>
  </si>
  <si>
    <t>~6 %ᵃ</t>
  </si>
  <si>
    <t>~10 %ᵃ</t>
  </si>
  <si>
    <t>Données très stables</t>
  </si>
  <si>
    <t>Tout le reste</t>
  </si>
  <si>
    <t>⭐⭐</t>
  </si>
  <si>
    <t>2</t>
  </si>
  <si>
    <t>Produit stable NS</t>
  </si>
  <si>
    <t>Fort saisonnier (pas de correction outlier)</t>
  </si>
  <si>
    <t>⭐⭐⭐</t>
  </si>
  <si>
    <t>6</t>
  </si>
  <si>
    <t>Indices pondérés utiles</t>
  </si>
  <si>
    <t>Idem Simplifiée en pratique (voir §6)</t>
  </si>
  <si>
    <t>Simplifiée (nouvelle)</t>
  </si>
  <si>
    <t>3 (B12-14)</t>
  </si>
  <si>
    <t>Toujours</t>
  </si>
  <si>
    <t>—</t>
  </si>
  <si>
    <t>⭐⭐⭐⭐</t>
  </si>
  <si>
    <t>8+</t>
  </si>
  <si>
    <t>Partiel (O/P=valeurs)</t>
  </si>
  <si>
    <t>Oui (calib.)</t>
  </si>
  <si>
    <t>H2/H3 calibrés hors Excel</t>
  </si>
  <si>
    <t>Dépendance à un calcul externe</t>
  </si>
  <si>
    <t>⭐⭐⭐⭐⭐</t>
  </si>
  <si>
    <t>Oui (100%)</t>
  </si>
  <si>
    <t>Tout auditable en Excel</t>
  </si>
  <si>
    <t>Pas de gain mesurable vs Simplifiée ici (§6)</t>
  </si>
  <si>
    <t>5.  PRÉVISION Y PAR MÉTHODE — vs dernière année réelle (Y-1)</t>
  </si>
  <si>
    <t>⚙ Formules liées aux onglets sources (recalcul automatique). Y-3/Y-2/Y-1 = années relatives (3 dernières années d'historique disponibles, pas des années calendaires fixes) ; Y = l'année à venir, objet de la prévision. Les colonnes Initiale/Optimisée/Simplifiée/Python/Combinée sont bien les prévisions Y de chaque méthode (pas des données historiques) — comparées à Y-1 réel pour donner un ordre de grandeur.</t>
  </si>
  <si>
    <t>Produit A — Non saisonnier (11 mois NS + Octobre SH)</t>
  </si>
  <si>
    <t>Base Y-1</t>
  </si>
  <si>
    <t>Écart Simp/Comb</t>
  </si>
  <si>
    <t>⚠ Alerte</t>
  </si>
  <si>
    <t>Réel Y (à saisir)</t>
  </si>
  <si>
    <t>Écart Simp vs Réel</t>
  </si>
  <si>
    <t>Écart Comb vs Réel</t>
  </si>
  <si>
    <t>TOTAL Y</t>
  </si>
  <si>
    <t>MAPE Y réel (une fois Réel Y saisi)</t>
  </si>
  <si>
    <t>Produit B — Très saisonnier (Oct-Déc SH | Fév-Sep SB | Jan NS)</t>
  </si>
  <si>
    <t>Produit C — Non saisonnier | Exemple H2 (rupture de tendance : +1%/an puis +15%/an)</t>
  </si>
  <si>
    <t>⚙ Pas d'onglet Initiale/Optimisée/Simplifiée pour ce produit (n'existe pas dans le fichier source externe) — Python/Combinée uniquement.</t>
  </si>
  <si>
    <t>Écart Py/Comb</t>
  </si>
  <si>
    <t>H (Combinée)</t>
  </si>
  <si>
    <t>Produit D — Non saisonnier | Exemple H3 (choc ponctuel au dernier trimestre de Y-1)</t>
  </si>
  <si>
    <t>6.  MAPE BACK-TEST — Entraîné Y-3+Y-2, prédit Y-1 (jamais vu)</t>
  </si>
  <si>
    <t>⚙ Colonnes MAPE A/B = formules liées aux onglets sources (recalcul automatique) — sauf Méthode 0, non recalculable (sortie native Excel, valeur indicative figée).</t>
  </si>
  <si>
    <t>MAPE Produit A</t>
  </si>
  <si>
    <t>MAPE Produit B</t>
  </si>
  <si>
    <t>Commentaire</t>
  </si>
  <si>
    <t>Méthode 0 (brut)</t>
  </si>
  <si>
    <t>Pas de correction outlier, pas de pondération saisonnière. ᵃValeur indicative non recalculée.</t>
  </si>
  <si>
    <t>Pas de correction d'outlier → très sensible à l'outlier Avr/B (brut=40) : MAPE B nettement dégradé.</t>
  </si>
  <si>
    <t>Quasi identique à Simplifiée/Python/Combinée : ce back-test teste surtout la correction d'outlier (commune aux 4), pas la logique propre à chaque méthode.</t>
  </si>
  <si>
    <t>1 formule/mois, 3 paramètres — même résultat que les méthodes plus complexes ici.</t>
  </si>
  <si>
    <t>H/T calibrés hors Excel (Python) — mêmes paramètres que Combinée</t>
  </si>
  <si>
    <t>Tout en formules Excel — sur CE jeu de données, n'apporte pas de gain de précision mesurable vs Simplifiée.</t>
  </si>
  <si>
    <t>MAPE Produit C (Python/Combinée)</t>
  </si>
  <si>
    <t>Pas d'équivalent Initiale/Optimisée/Simplifiée pour ce produit (n'existe pas dans le fichier source externe).</t>
  </si>
  <si>
    <t>MAPE Produit D (Python/Combinée)</t>
  </si>
  <si>
    <t>⚠ POURQUOI CE MAPE EST IDENTIQUE ALORS QUE LES PRÉVISIONS Y (§5) DIFFÈRENT VRAIMENT ENTRE MÉTHODES — réponse mécanique : ce MAPE NE TESTE PAS les colonnes de prévision Y du §5. Il utilise une formule totalement différente et indépendante : extrapoler un Y-1 synthétique à partir de Y-3/Y-2 (ratio simple, sans indices saisonniers ni H1/H2/H3 ni TREND) et le comparer au vrai Y-1. Cette formule proxy ne lit ni H, ni P, ni Q, ni aucune colonne propre à Optimisée/Simplifiée/Python/Combinée — seulement leurs données Y-3/Y-2/Y-1 CORRIGÉES des outliers, qui sont quasi identiques entre ces 4 méthodes (même seuil 15%, mêmes 3 ans). Résultat : le MAPE mesure la qualité de la correction d'outlier en amont, pas la qualité des prévisions Y affichées en §5 — c'est pour ça qu'il est identique alors que les prévisions Y, elles, diffèrent réellement. Pour vraiment départager les méthodes sur leurs prévisions Y, il faudrait un back-test qui ré-exécute la logique COMPLÈTE de chacune sur une fenêtre décalée (Y-3+Y-2 uniquement) — impossible ici avec seulement 3 ans d'historique (il en faudrait 4). Conclusion honnête : ce MAPE ne prouve PAS que Combinée est équivalente à Simplifiée sur le fond, seulement qu'on n'a pas encore de preuve qu'elle fait mieux — dans le doute, préférer la plus simple et la plus auditable (voir §3).</t>
  </si>
  <si>
    <t>7.  RECOMMANDATIONS</t>
  </si>
  <si>
    <t>★  Méthode à déployer maintenant</t>
  </si>
  <si>
    <t>Simplifiée. Le back-test §6 (méthodologie identique pour toutes les méthodes) montre qu'Optimisée, Simplifiée, Python et Combinée donnent un MAPE quasi identique sur ces données — mais voir l'encadré ci-dessus : ce n'est pas une preuve d'équivalence, seulement l'absence de preuve du contraire. À preuve égale, la plus simple et la plus auditable (§3) gagne : 1 formule/mois, aucune dépendance externe.</t>
  </si>
  <si>
    <t>★½  Garder Combinée en parallèle</t>
  </si>
  <si>
    <t>Ne pas l'abandonner pour autant — la garder active pour deux raisons concrètes : (1) une fois Y devenu réel, les colonnes « Réel Y » du §5 permettront enfin un vrai back-test (pas le proxy actuel) pour départager objectivement Simplifiée et Combinée ; (2) Combinée a une logique H1/H2/H3 que Simplifiée n'a pas — utile pour les produits C/D (§1) qui la déclenchent déjà.</t>
  </si>
  <si>
    <t>★★  Quand basculer sur Python/Combinée</t>
  </si>
  <si>
    <t>Si un produit déclenche H2/H3 (T-span ≠ T12, retournement de marché, nouveau concurrent — comme C et D, §1) — voir §6 pour vérifier si l'écart devient significatif. Sur A/B (H1 partout) → pas de gain à en attendre.</t>
  </si>
  <si>
    <t>★★★  Prochaine amélioration</t>
  </si>
  <si>
    <t>Holt-Winters multiplicatif pour le Produit B (saisonnalité forte à 70 % du CA en Déc) reste pertinent sur le principe (modèle dédié à ce type de saisonnalité forte). Mais le gain chiffré ne peut plus être annoncé ici : l'ancien "5-6 % → 3-4 %" venait du MAPE circulaire d'avant correction (§6) — et le MAPE back-test actuel (~0,4 %) ne mesure pas la précision réelle des prévisions Y (voir encadré §6), donc aucun chiffre de référence fiable n'existe pour évaluer le gain avant/après. Implémentation Python (statsmodels) ou Excel Solver ; établir un vrai chiffre de référence (back-test propre à la méthode) avant/après implémentation plutôt que réutiliser d'anciens pourcentages.</t>
  </si>
  <si>
    <t>⚙  Maintenance</t>
  </si>
  <si>
    <t>Révision trimestrielle des paramètres B14 (poids récent) et B16 (seuil alerte). Si MAPE (formule B22/B38 Simplifiée) dégrade 2 mois de suite → investiguer la classification saisonnière ou le seuil de convergence H ($J$7 dans Python/Combinée).</t>
  </si>
  <si>
    <t>Paramètres clés : outlier 15 % (B5) | SB&lt;0,75 (B6) | SH&gt;1,20 (B7) | w 0,05/0,10/0,15/0,20/0,50 (B8-B12) | w_récent 0,70 (B14) | ε=0,003 (J7) | δmax=0,010 (J8) | H2_max=0,85 (J9) [params 2 dans Python/Combinée]</t>
  </si>
  <si>
    <t>⚠ LIMITE FONDAMENTALE : passer de 3 à 5 ans de données améliore la fiabilité (la régression mensuelle TREND gagne des degrés de liberté : 1 → 3), MAIS cela NE VEUT PAS DIRE qu'on est à 95 % de confiance — cette valeur n'a jamais été calculée ici, seulement estimée de façon empirique/heuristique. C'est une limite mathématique liée au nombre d'observations, pas un défaut d'implémentation : aucune méthode ne peut s'en affranchir, aussi sophistiquée soit-elle. Pour un vrai chiffre à 95 %, il faudrait calculer un intervalle de prédiction explicite (erreur-type de la régression × valeur t), ce qui n'est pas encore fait dans ce classeur.</t>
  </si>
  <si>
    <t>ThinknSolv © copyright 2026 CONFIDENTIEL   |   RECOMMANDATION — Synthèse actionnable par produit + prévisions mensuelles</t>
  </si>
  <si>
    <t>1.  LES 2 MÉTHODES COMPARÉES</t>
  </si>
  <si>
    <t>Principe (en une phrase)</t>
  </si>
  <si>
    <t>Quand l'utiliser</t>
  </si>
  <si>
    <t>Simplifiée (3Y)</t>
  </si>
  <si>
    <t>1 seule formule par mois : Prévision = Y-1 × (w × croissance Y-1/Y-2 + (1−w) × croissance Y-2/Y-3) × (1 + promo×bonus). Seulement 3 paramètres (w, 1−w calculé automatiquement, seuil d'alerte) — voir onglet Simplifiée, cellules B3/B4/B5.</t>
  </si>
  <si>
    <t>Produits à tendance stable (classe H1, cf. §2). Précision identique à Combinée sur le back-test, mais vérifiable en 30 secondes par n'importe qui, sans connaître le reste du classeur.</t>
  </si>
  <si>
    <t>Détecte automatiquement si la tendance est stable (H1), a changé durablement (H2) ou a juste eu un choc ponctuel (H3) — cf. légende H1/H2/H3 sous le tableau §2 — puis ajuste la prévision en conséquence. 100% en formules Excel (colonnes W à Z), rien n'est figé : tout se recalcule si les données changent.</t>
  </si>
  <si>
    <t>Produits à rupture de tendance (H2) ou choc ponctuel (H3). Simplifiée ne sait pas faire cette distinction : elle extrapole toujours de la même façon, même un choc isolé — Combinée, si.</t>
  </si>
  <si>
    <t>2.  SYNTHÈSE PAR PRODUIT</t>
  </si>
  <si>
    <t>Back-test
P/Combiné</t>
  </si>
  <si>
    <t>Prévision Y
P/Combiné</t>
  </si>
  <si>
    <t>Prévision Y
Simplifié 3Y</t>
  </si>
  <si>
    <t>Stock Sécurité
conseillé</t>
  </si>
  <si>
    <t>Stable +2,4%/an, retournement Y-2 Oct : H2</t>
  </si>
  <si>
    <t>Simplifiée (3Y) — précision équivalente à Combinée sur le back-test, plus simple et auditable.</t>
  </si>
  <si>
    <t>Forte (Q4)</t>
  </si>
  <si>
    <t>Stable +5,4%/an</t>
  </si>
  <si>
    <t>Rupture récente +1%→+15%/an Y-2, Y-1</t>
  </si>
  <si>
    <t>Incertain — prévisions divergentes (~14 %) entre méthodes ; comparer au Réel Y dès que connu avant de trancher.</t>
  </si>
  <si>
    <t>Stable +5%/an, choc ponctuel Oct-Déc Y-1</t>
  </si>
  <si>
    <t>Combinée — Simplifiée extrapole le choc ponctuel comme une tendance durable, Combinée le reconnaît comme isolé.</t>
  </si>
  <si>
    <t>⚙ DÉFINITION DES CLASSES H : T-span = tendance longue (Y-N vs Y-1, toute la période) | T12 = tendance récente (Y-2 vs Y-1) | T3 = tendance du dernier trimestre (Oct-Déc). H1 : les 3 concordent → tendance stable. H2/H2b : T-span≠T12 ET T3 confirme l'un des deux → changement de tendance réel et durable. H3 : T-span≈T12 MAIS T3 diverge → choc isolé au dernier trimestre, pas une vraie rupture.</t>
  </si>
  <si>
    <t>Paramètres clés : outlier 15 % (B5) | SB&lt;0,75 (B6) | SH&gt;1,20 (B7) | poids années 0,05/0,10/0,15/0,20/0,50 (B8-B12)</t>
  </si>
  <si>
    <t>⚠ Intervalle ±95 % : ordre de grandeur EMPIRIQUE (écart-type des 12 erreurs de back-test × t(0,975;11), détail par produit dans l'onglet Synthèse §5) — varie de ±0,4 % (C) à ±11,9 % (D) selon le produit : ne PAS retenir un chiffre unique pour les 4 produits.</t>
  </si>
  <si>
    <t>3.  PRÉVISIONS MENSUELLES — COMBINÉE vs SIMPLIFIÉE 3Y</t>
  </si>
  <si>
    <t>Prévision Y (avec promo) mois par mois pour les 2 méthodes décrites en §1 et retenues en §2. Écart % coloré : vert = méthodes proches, rouge = écart marqué à examiner avant de trancher (en particulier produits C/D, cf. §2).</t>
  </si>
  <si>
    <t>▶  PRODUIT A  (H1)  —  Recommandation : Simplifiée (3Y) — précision équivalente à Combinée sur le back-test, plus simple et auditable.</t>
  </si>
  <si>
    <t>Simplifié 3Y</t>
  </si>
  <si>
    <t>▶  PRODUIT B  (H1)  —  Recommandation : Simplifiée (3Y) — précision équivalente à Combinée sur le back-test, plus simple et auditable.</t>
  </si>
  <si>
    <t>▶  PRODUIT C  (H2)  —  Recommandation : Incertain — prévisions divergentes (~14 %) entre méthodes ; comparer au Réel Y dès que connu avant de trancher.</t>
  </si>
  <si>
    <t>▶  PRODUIT D  (H3)  —  Recommandation : Combinée — Simplifiée extrapole le choc ponctuel comme une tendance durable, Combinée le reconnaît comme isolé.</t>
  </si>
  <si>
    <t>4.  OPTIMISATION DES COEFFICIENTS &amp; NOUVEAUX MODÈLES — PAS ENCORE</t>
  </si>
  <si>
    <t>⚠ Chercher un optimum sur les coefficients (w, poids saisonniers B8-B12, ε/δmax/H2_max, seuils outlier/saison) pour réduire l'erreur — et donc le Stock Sécurité conseillé (§2) — n'est PAS recommandé pour l'instant, pour 2 raisons : (1) le seul signal de back-test disponible est le proxy Y-3/Y-2→Y-1 (cf. Conclusion §6), qui ne teste PAS la vraie logique de chaque méthode (H1/H2/H3, T appliqué) — optimiser dessus ajusterait un indicateur qui ne reflète pas la précision réelle ; (2) avec ~8-10 coefficients ajustables et seulement 5 ans × 4 produits, un optimiseur trouverait presque à coup sûr un optimum qui colle au bruit de CES données précises, sans généraliser aux années futures (surapprentissage). Attendre que la planification glissante (Réel Y, §3) ait accumulé suffisamment d'historique réel (à titre indicatif : 12-24 mois) avant d'envisager une optimisation — elle porterait alors sur la vraie erreur de prévision, pas sur un proxy, avec un échantillon qui grandit au lieu d'être figé à 5 ans.</t>
  </si>
  <si>
    <t>⚠ Même réserve pour tester des modèles plus sophistiqués (Holt-Winters — piste déjà identifiée pour le Produit B très saisonnier, cf. Conclusion §7 — SARIMA, ensembles pondérés, etc.) : ces modèles ont en général besoin de PLUS de données pour être fiables, pas moins — sur seulement 5 ans, le risque de surapprentissage serait pire qu'avec Simplifiée/Combinée. Un modèle candidat plus "performant" sur le proxy actuel ne le serait pas forcément sur la vraie prévision. Même critère de reprise : comparer tout nouveau modèle à Combinée/Simplifiée sur le Réel Y accumulé (§3), pas sur le back-test proxy.</t>
  </si>
  <si>
    <t>ThinknSolv © copyright 2026 CONFIDENTIEL   |   GRAPHIQUE DES VENTES — Y-5..Y-1, Prévision Y (Combinée/Simplifiée), Réel Y, Commandes Y, par produit</t>
  </si>
  <si>
    <t>⚙ Graphiques DYNAMIQUES — les séries référencent Données/Combinée/Simplifiée et se recalculent automatiquement (pas des images figées). Réel Y / Commandes Y n'affichent que les mois déjà saisis.</t>
  </si>
  <si>
    <t>ThinknSolv © copyright 2026 CONFIDENTIEL   |   PIPELINE PRÉVISION VENTES — 3 méthodes SIMPLIFIÉES (3Y / 5Y / Régime) + Pente en parallèle, alternatives auditables à Combinée   |   6 étapes en colonnes : 1 Historique 5Y  2 Outliers (médiane)  3 Retournements/accélérations  4 Back-test Y-1 (erreur)  5 Prévision Y  6 Recommandation (3Y/Régime — Pente pas encore intégrée à la recommandation, colonne de comparaison uniquement, voir CONTEXTE.md)</t>
  </si>
  <si>
    <t>Seuil outlier (écart vs médiane)</t>
  </si>
  <si>
    <t>Seuil alerte accélération</t>
  </si>
  <si>
    <t>Poids récent w (3Y/5Y)</t>
  </si>
  <si>
    <t>EPS convergence (régime)</t>
  </si>
  <si>
    <t>DELTA écart trimestre (régime)</t>
  </si>
  <si>
    <t>Poids plafond rupture W_RUPTURE</t>
  </si>
  <si>
    <t>t Student 95% (ddl=11, 12 mois) — table statistique standard</t>
  </si>
  <si>
    <t>Seuil correction Pente (écart croissance)</t>
  </si>
  <si>
    <t>ÉTAPE 1 — HISTORIQUE 5Y</t>
  </si>
  <si>
    <t>ÉTAPE 2 — OUTLIERS (médiane)</t>
  </si>
  <si>
    <t>ÉTAPE 3 — RETOURNEMENTS/ACCÉL.</t>
  </si>
  <si>
    <t>ÉTAPE 4 — BACK-TEST Y-1 (erreur)</t>
  </si>
  <si>
    <t>ÉTAPE 5 — PRÉVISION Y</t>
  </si>
  <si>
    <t>ÉTAPE 6 — RECOMMANDATION</t>
  </si>
  <si>
    <t>BLOCS RÉGIME (détail du calcul H1/H2/H3) — prévision puis back-test</t>
  </si>
  <si>
    <t>ÉTAPE 4 (suite) — BIAIS (signé) &amp; RMSE</t>
  </si>
  <si>
    <t>PENTE (méthode parallèle) — croissance pondérée avec correction auto</t>
  </si>
  <si>
    <t>Médiane croiss.</t>
  </si>
  <si>
    <t>⚠ Outlier (années corrigées)</t>
  </si>
  <si>
    <t>Alerte retournement (BRUT, avant correction)</t>
  </si>
  <si>
    <t>Croiss. Y-1/Y-2 (corr.)</t>
  </si>
  <si>
    <t>Croiss. Y-2/Y-3 (corr.)</t>
  </si>
  <si>
    <t>Alerte retournement (corrigé)</t>
  </si>
  <si>
    <t>Préd. Y-1 (3Y)</t>
  </si>
  <si>
    <t>Erreur 3Y</t>
  </si>
  <si>
    <t>Préd. Y-1 (5Y)</t>
  </si>
  <si>
    <t>Erreur 5Y</t>
  </si>
  <si>
    <t>Préd. Y-1 (Régime)</t>
  </si>
  <si>
    <t>Erreur Régime</t>
  </si>
  <si>
    <t>Prévision Y (3Y)</t>
  </si>
  <si>
    <t>Prévision Y (5Y)</t>
  </si>
  <si>
    <t>Prévision Y (Régime)</t>
  </si>
  <si>
    <t>Prévision RETENUE</t>
  </si>
  <si>
    <t>T_long mensuel (aide régime, prévision)</t>
  </si>
  <si>
    <t>T_long mensuel (aide régime, back-test)</t>
  </si>
  <si>
    <t>Biais 3Y</t>
  </si>
  <si>
    <t>Biais 5Y</t>
  </si>
  <si>
    <t>Biais Régime</t>
  </si>
  <si>
    <t>RMSE 3Y</t>
  </si>
  <si>
    <t>RMSE 5Y</t>
  </si>
  <si>
    <t>RMSE Régime</t>
  </si>
  <si>
    <t>Croiss. Y-3/Y-4 (corr.)</t>
  </si>
  <si>
    <t>Préd. Y-1 (Pente)</t>
  </si>
  <si>
    <t>Erreur Pente</t>
  </si>
  <si>
    <t>Prévision Y (Pente)</t>
  </si>
  <si>
    <t>Biais Pente</t>
  </si>
  <si>
    <t>RMSE Pente</t>
  </si>
  <si>
    <t>▶ PRODUIT A | Non saisonnier (Oct SH) | +~2,4%/an | Profil H1 : tendance stable, sans saisonnalité</t>
  </si>
  <si>
    <t>T_long (moy. 12 mois)</t>
  </si>
  <si>
    <t>T_Q1 (Jan-Mar)</t>
  </si>
  <si>
    <t>T_reste hors trim.</t>
  </si>
  <si>
    <t>T_Q2 (Avr-Jun)</t>
  </si>
  <si>
    <t>T_Q3 (Jul-Sep)</t>
  </si>
  <si>
    <t>T_Q4 (Oct-Déc)</t>
  </si>
  <si>
    <t>Écart max (trim. retenu)</t>
  </si>
  <si>
    <t>T_reste retenu</t>
  </si>
  <si>
    <t>Régime détecté</t>
  </si>
  <si>
    <t>Croissance retenue (trend)</t>
  </si>
  <si>
    <t>MAPE -&gt;</t>
  </si>
  <si>
    <t>▶ PRODUIT B | Très saisonnier (Oct-Déc SH | Fév-Sep SB | Jan NS) | +~5,4%/an | Profil H1 : tendance stable, forte saisonnalité</t>
  </si>
  <si>
    <t>▶ PRODUIT C | Non saisonnier | +1%/an (Y-5..Y-3) puis +15%/an (Y-2..Y-1) | Profil H2 : rupture de tendance récente et durable</t>
  </si>
  <si>
    <t>▶ PRODUIT D | Non saisonnier | +5%/an constant, sauf Oct-Nov-Déc de Y-1 (+20%) | Profil H3 : choc ponctuel au dernier trimestre</t>
  </si>
  <si>
    <t>ThinknSolv © copyright 2026 CONFIDENTIEL   |   SYNTHÈSE (3 MÉTHODES) — modèle retenu, précision, stock et prévision par produit (méthodologie Pipeline 3 méthodes)</t>
  </si>
  <si>
    <t>Objectif : modèle de prévision des ventes simple, auditable/transparent et validé par des tests d'écart Y-1 et des prévisions Y.</t>
  </si>
  <si>
    <t>Profil produit</t>
  </si>
  <si>
    <t>Modèle recommandé</t>
  </si>
  <si>
    <t>MAPE</t>
  </si>
  <si>
    <t>Stock : borne basse</t>
  </si>
  <si>
    <t>Stock : borne haute</t>
  </si>
  <si>
    <t>MAPE Pente (comparaison)</t>
  </si>
  <si>
    <t>| Non saisonnier (Oct SH) | +~2,4%/an | Profil H1 : tendance stable, sans saisonnalité</t>
  </si>
  <si>
    <t>| Très saisonnier (Oct-Déc SH | Fév-Sep SB | Jan NS) | +~5,4%/an | Profil H1 : tendance stable, forte saisonnalité</t>
  </si>
  <si>
    <t>| Non saisonnier | +1%/an (Y-5..Y-3) puis +15%/an (Y-2..Y-1) | Profil H2 : rupture de tendance récente et durable</t>
  </si>
  <si>
    <t>| Non saisonnier | +5%/an constant, sauf Oct-Nov-Déc de Y-1 (+20%) | Profil H3 : choc ponctuel au dernier trimestre</t>
  </si>
  <si>
    <t>ThinknSolv © copyright 2026 CONFIDENTIEL   |   MÉTHODE &amp; GRAPHIQUES (3 méthodes) — méthodes, processus, intervalle de prédiction, légendes</t>
  </si>
  <si>
    <t>MÉTHODES — principe et quand les utiliser</t>
  </si>
  <si>
    <t>Prévision = Y-1 × (w × Y-1/Y-2 + (1−w) × Y-2/Y-3) × (1 + promo×bonus). 1 seule formule, 3 paramètres (w, seuil alerte, seuil outlier).</t>
  </si>
  <si>
    <t>Produits à tendance stable (H1). Auditable en 30 secondes par n'importe qui, sans connaître le reste du classeur.</t>
  </si>
  <si>
    <t>Identique à 3Y, sauf le ratio « ancien » : (Y-1/Y-5)^(1/4) annualisé sur 4 ans au lieu de Y-2/Y-3 (1 an). Réagit un peu plus lentement aux à-coups récents.</t>
  </si>
  <si>
    <t>Comme 3Y — les deux donnent une précision quasi identique sur produits stables. Le choix entre les deux n'a pas d'impact réel.</t>
  </si>
  <si>
    <t>Simplifiée Régime</t>
  </si>
  <si>
    <t>Compare 3 croissances (tendance longue, 9 premiers mois, dernier trimestre) pour détecter si la tendance a changé pour de bon (H2) ou si c'est un choc isolé à ignorer (H3). Si rien ne diverge, se comporte comme 3Y (H1).</t>
  </si>
  <si>
    <t>Produits en rupture de tendance (H2) ou choc ponctuel (H3) — cas où 3Y/5Y se contentent d'extrapoler l'anomalie sans la questionner. Plus de formules que 3Y/5Y, mais nettement moins que Combinée (pas de classification par saison, pas de pondération continue).</t>
  </si>
  <si>
    <t>Pente (2026-08-07, en parallèle)</t>
  </si>
  <si>
    <t>Prévision = dernier taux de croissance observé, reconduit tel quel — SAUF si ce taux diverge à la fois de l'historique récent ET de la moyenne de sa propre année (choc isolé), auquel cas il est amorti par le ratio des moyennes annuelles. Pas de classification H1/H2/H3 : une seule formule pour tous les cas.</t>
  </si>
  <si>
    <t>Colonne de comparaison pour l'instant (voir 'Pipeline 3 méthodes' colonnes AX-BC et 'Synthèse (3 méthodes)' colonne MAPE Pente) — validée sur 7 profils produits dans le prototype de référence (stable, rupture, choc isolé, croissance exponentielle, inflexion, décroissance), pas encore intégrée à 'Modèle recommandé'/aux bornes de stock. Voir CONTEXTE.md.</t>
  </si>
  <si>
    <t>PROCESSUS — 6 étapes (voir l'onglet Pipeline 3 méthodes)</t>
  </si>
  <si>
    <t>1. Historique 5Y</t>
  </si>
  <si>
    <t>5 années de ventes mensuelles brutes, par produit (mêmes données que l'onglet Données).</t>
  </si>
  <si>
    <t>2. Outliers</t>
  </si>
  <si>
    <t>Détection par écart à la croissance MÉDIANE (pas de régression) ; remplacement si l'écart dépasse le seuil. Robuste : un seul point aberrant ne fausse pas les autres.</t>
  </si>
  <si>
    <t>3. Retournements/accélérations</t>
  </si>
  <si>
    <t>Alerte calculée sur le BRUT (avant correction, ne disparaît jamais) et sur le CORRIGÉ (après nettoyage) — signale un changement de sens ou d'ampleur de la croissance.</t>
  </si>
  <si>
    <t>4. Back-test Y-1 (erreur)</t>
  </si>
  <si>
    <t>Chaque méthode prédit Y-1 réel à partir de Y-5→Y-2 uniquement (Y-1 masqué), pour mesurer l'erreur sans tricher — MAPE, Biais, RMSE par méthode et produit.</t>
  </si>
  <si>
    <t>5. Prévision Y</t>
  </si>
  <si>
    <t>Les 3 méthodes appliquées à l'historique complet (Y-5→Y-1) pour prédire l'année à venir, mois par mois.</t>
  </si>
  <si>
    <t>6. Recommandation</t>
  </si>
  <si>
    <t>Régime détecté (H1/H2/H3) par la méthode Régime → méthode retenue automatiquement par produit (voir onglet Synthèse (3 méthodes)).</t>
  </si>
  <si>
    <t>INTERVALLE DE PRÉDICTION (EMPIRIQUE) — pour dimensionnement stock</t>
  </si>
  <si>
    <t>Approche empirique (pas un modèle économétrique) : écart-type des 12 erreurs mensuelles du back-test de la méthode RETENUE, appliqué avec t de Student à 95% (11 degrés de liberté). Avec seulement 12 observations, c'est un ordre de grandeur indicatif, pas une preuve statistique rigoureuse.</t>
  </si>
  <si>
    <t>Méthode retenue</t>
  </si>
  <si>
    <t>Prévision Y (point)</t>
  </si>
  <si>
    <t>Écart-type % (12 erreurs back-test)</t>
  </si>
  <si>
    <t>t Student 95%</t>
  </si>
  <si>
    <t>LÉGENDE — signification des 3 mesures d'erreur</t>
  </si>
  <si>
    <t>Erreur moyenne, en valeur absolue (le sens est ignoré). Répond à : « en moyenne, de combien la méthode se trompe-t-elle ? » Ne peut pas être trompé par des erreurs qui s'annulent entre elles.</t>
  </si>
  <si>
    <t>Biais</t>
  </si>
  <si>
    <t>Erreur moyenne SIGNÉE (positif = sur-estime, négatif = sous-estime). Répond à : « la méthode penche-t-elle systématiquement dans un sens ? » Un biais proche de 0 peut cacher de grosses erreurs si elles s'annulent — à lire toujours avec le MAPE, jamais seul.</t>
  </si>
  <si>
    <t>RMSE</t>
  </si>
  <si>
    <t>Racine de la moyenne des erreurs au carré. Répond à : « y a-t-il un ou plusieurs mois où l'erreur a été particulièrement grosse ? » Le carré pénalise fortement les gros écarts isolés — RMSE proche du MAPE = erreurs régulières ; RMSE nettement supérieur au MAPE = au moins un mois très mauvais qui tire la moyenne.</t>
  </si>
  <si>
    <t>LÉGENDE — classification de régime (Simplifiée Régime)</t>
  </si>
  <si>
    <t>Régime</t>
  </si>
  <si>
    <t>Explication</t>
  </si>
  <si>
    <t>Méthode de calcul (condition → trend retenu)</t>
  </si>
  <si>
    <t>H1 — stable</t>
  </si>
  <si>
    <t>Tendance longue, 9 premiers mois et dernier trimestre concordent tous les trois. Aucun changement détecté : on garde la tendance longue.</t>
  </si>
  <si>
    <t>SI |T_long − T_reste| &lt; EPS ET Écart_max(trimestre) &lt; DELTA → Trend = T_long</t>
  </si>
  <si>
    <t>H2 — rupture durable</t>
  </si>
  <si>
    <t>Le dernier trimestre ET les 9 premiers mois divergent ensemble de la tendance longue. Changement de régime confirmé sur toute l'année récente : on bascule vers la croissance récente (poids plafonné).</t>
  </si>
  <si>
    <t>SI |T_long − T_reste| ≥ EPS → Trend = W_RUPTURE × T_reste + (1−W_RUPTURE) × T_long</t>
  </si>
  <si>
    <t>H3 — choc isolé</t>
  </si>
  <si>
    <t>Seul le dernier trimestre diverge ; les 9 premiers mois restent alignés avec la tendance longue. Anomalie limitée à une période courte : on l'ignore et on garde la tendance longue.</t>
  </si>
  <si>
    <t>SI |T_long − T_reste| &lt; EPS ET Écart_max(trimestre) ≥ DELTA → Trend = T_long (trimestre divergent ignoré)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</si>
</sst>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0.0000"/>
    <numFmt numFmtId="167" formatCode="0.000"/>
    <numFmt numFmtId="168" formatCode="\+#,##0.0;\-#,##0.0;\-"/>
    <numFmt numFmtId="169" formatCode="0.000%"/>
    <numFmt numFmtId="170" formatCode="\+#,##0.0;\-#,##0.0;0"/>
    <numFmt numFmtId="171" formatCode="\+0.0%;\-0.0%"/>
    <numFmt numFmtId="172" formatCode="\+0.0;\-0.0;0"/>
  </numFmts>
  <fonts count="99" x14ac:knownFonts="1">
    <font>
      <sz val="11"/>
      <color theme="1"/>
      <name val="Calibri"/>
      <family val="2"/>
      <scheme val="minor"/>
    </font>
    <font>
      <b/>
      <sz val="10"/>
      <color rgb="FFFFFFFF"/>
      <name val="Arial"/>
      <family val="2"/>
    </font>
    <font>
      <b/>
      <sz val="9"/>
      <color rgb="FFFFFFFF"/>
      <name val="Arial"/>
      <family val="2"/>
    </font>
    <font>
      <b/>
      <sz val="11"/>
      <color theme="1"/>
      <name val="Calibri"/>
      <family val="2"/>
      <charset val="1"/>
    </font>
    <font>
      <sz val="10"/>
      <color rgb="FF000000"/>
      <name val="Arial"/>
      <family val="2"/>
    </font>
    <font>
      <sz val="10"/>
      <color rgb="FF0070C0"/>
      <name val="Arial"/>
      <family val="2"/>
    </font>
    <font>
      <sz val="11"/>
      <color theme="1"/>
      <name val="Calibri"/>
      <family val="2"/>
      <charset val="1"/>
    </font>
    <font>
      <b/>
      <sz val="10"/>
      <color rgb="FF000000"/>
      <name val="Arial"/>
      <family val="2"/>
    </font>
    <font>
      <i/>
      <sz val="9"/>
      <color rgb="FF333333"/>
      <name val="Arial"/>
      <family val="2"/>
    </font>
    <font>
      <b/>
      <sz val="10"/>
      <color rgb="FFFFFFFF"/>
      <name val="Arial"/>
    </font>
    <font>
      <b/>
      <sz val="11"/>
      <color rgb="FFFFFFFF"/>
      <name val="Arial"/>
      <family val="2"/>
    </font>
    <font>
      <i/>
      <sz val="9"/>
      <color rgb="FF375623"/>
      <name val="Arial"/>
      <family val="2"/>
    </font>
    <font>
      <b/>
      <sz val="10"/>
      <color rgb="FF7030A0"/>
      <name val="Arial"/>
      <family val="2"/>
    </font>
    <font>
      <b/>
      <sz val="9"/>
      <color rgb="FF7030A0"/>
      <name val="Arial"/>
      <family val="2"/>
    </font>
    <font>
      <i/>
      <sz val="9"/>
      <color rgb="FF843C0C"/>
      <name val="Arial"/>
      <family val="2"/>
    </font>
    <font>
      <i/>
      <sz val="8"/>
      <color rgb="FF444444"/>
      <name val="Arial"/>
      <family val="2"/>
    </font>
    <font>
      <b/>
      <sz val="9"/>
      <color rgb="FF1F4E79"/>
      <name val="Arial"/>
      <family val="2"/>
    </font>
    <font>
      <sz val="9"/>
      <name val="Arial"/>
      <family val="2"/>
    </font>
    <font>
      <b/>
      <sz val="8"/>
      <color rgb="FFFFFFFF"/>
      <name val="Arial"/>
    </font>
    <font>
      <b/>
      <sz val="10"/>
      <color rgb="FF1F4E79"/>
      <name val="Arial"/>
    </font>
    <font>
      <i/>
      <sz val="7"/>
      <color rgb="FF555555"/>
      <name val="Arial"/>
    </font>
    <font>
      <b/>
      <i/>
      <sz val="9"/>
      <color rgb="FF1F4E79"/>
      <name val="Arial"/>
      <family val="2"/>
    </font>
    <font>
      <b/>
      <sz val="10"/>
      <color rgb="FF1F4E79"/>
      <name val="Arial"/>
      <family val="2"/>
    </font>
    <font>
      <b/>
      <sz val="12"/>
      <color rgb="FF0070C0"/>
      <name val="Arial"/>
      <family val="2"/>
    </font>
    <font>
      <b/>
      <sz val="12"/>
      <color rgb="FF000000"/>
      <name val="Arial"/>
      <family val="2"/>
    </font>
    <font>
      <b/>
      <sz val="10"/>
      <color rgb="FFC00000"/>
      <name val="Arial"/>
      <family val="2"/>
    </font>
    <font>
      <b/>
      <sz val="12"/>
      <color rgb="FFC00000"/>
      <name val="Arial"/>
      <family val="2"/>
    </font>
    <font>
      <i/>
      <sz val="8"/>
      <color rgb="FFC00000"/>
      <name val="Arial"/>
      <family val="2"/>
    </font>
    <font>
      <sz val="10"/>
      <color rgb="FF595959"/>
      <name val="Arial"/>
      <family val="2"/>
    </font>
    <font>
      <b/>
      <i/>
      <sz val="8"/>
      <color rgb="FF375623"/>
      <name val="Arial"/>
      <family val="2"/>
    </font>
    <font>
      <b/>
      <i/>
      <sz val="9"/>
      <color rgb="FF7030A0"/>
      <name val="Arial"/>
      <family val="2"/>
    </font>
    <font>
      <b/>
      <i/>
      <sz val="9"/>
      <color rgb="FF843C0C"/>
      <name val="Arial"/>
      <family val="2"/>
    </font>
    <font>
      <b/>
      <sz val="10"/>
      <color rgb="FF843C0C"/>
      <name val="Arial"/>
      <family val="2"/>
    </font>
    <font>
      <b/>
      <sz val="11"/>
      <color rgb="FFFFFFFF"/>
      <name val="Arial"/>
    </font>
    <font>
      <i/>
      <sz val="8"/>
      <color rgb="FF2E7D32"/>
      <name val="Arial"/>
    </font>
    <font>
      <b/>
      <sz val="9"/>
      <color rgb="FFFFFFFF"/>
      <name val="Arial"/>
    </font>
    <font>
      <b/>
      <sz val="9"/>
      <color rgb="FF000000"/>
      <name val="Arial"/>
    </font>
    <font>
      <sz val="9"/>
      <color rgb="FF7D6608"/>
      <name val="Arial"/>
    </font>
    <font>
      <i/>
      <sz val="8"/>
      <color rgb="FF7030A0"/>
      <name val="Arial"/>
    </font>
    <font>
      <b/>
      <sz val="9"/>
      <color rgb="FF7D6608"/>
      <name val="Arial"/>
    </font>
    <font>
      <b/>
      <sz val="10"/>
      <color rgb="FF7D6608"/>
      <name val="Arial"/>
    </font>
    <font>
      <i/>
      <sz val="8"/>
      <color rgb="FF888888"/>
      <name val="Arial"/>
    </font>
    <font>
      <b/>
      <sz val="9"/>
      <color rgb="FF1B5E20"/>
      <name val="Arial"/>
    </font>
    <font>
      <sz val="7"/>
      <color rgb="FFCCCCCC"/>
      <name val="Arial"/>
    </font>
    <font>
      <sz val="9"/>
      <name val="Arial"/>
    </font>
    <font>
      <sz val="8"/>
      <name val="Arial"/>
    </font>
    <font>
      <b/>
      <sz val="8"/>
      <name val="Arial"/>
    </font>
    <font>
      <b/>
      <sz val="9"/>
      <name val="Arial"/>
    </font>
    <font>
      <b/>
      <sz val="8"/>
      <color rgb="FF555555"/>
      <name val="Arial"/>
    </font>
    <font>
      <b/>
      <sz val="9"/>
      <color rgb="FF7F4F00"/>
      <name val="Arial"/>
    </font>
    <font>
      <sz val="9"/>
      <color rgb="FF888888"/>
      <name val="Arial"/>
    </font>
    <font>
      <sz val="9"/>
      <color rgb="FF2E75B6"/>
      <name val="Arial"/>
    </font>
    <font>
      <b/>
      <sz val="8"/>
      <color rgb="FF843C0C"/>
      <name val="Arial"/>
    </font>
    <font>
      <i/>
      <sz val="7"/>
      <color rgb="FFAAAAAA"/>
      <name val="Arial"/>
    </font>
    <font>
      <i/>
      <sz val="8"/>
      <color rgb="FFAAAAAA"/>
      <name val="Arial"/>
    </font>
    <font>
      <sz val="9"/>
      <color rgb="FF2E7D32"/>
      <name val="Arial"/>
    </font>
    <font>
      <sz val="9"/>
      <color rgb="FF7F4F00"/>
      <name val="Arial"/>
    </font>
    <font>
      <b/>
      <sz val="8"/>
      <color rgb="FF1F4E79"/>
      <name val="Arial"/>
    </font>
    <font>
      <b/>
      <sz val="8"/>
      <color rgb="FF7F4F00"/>
      <name val="Arial"/>
    </font>
    <font>
      <i/>
      <sz val="9"/>
      <color rgb="FF555555"/>
      <name val="Arial"/>
    </font>
    <font>
      <i/>
      <sz val="7"/>
      <color rgb="FF999999"/>
      <name val="Arial"/>
    </font>
    <font>
      <b/>
      <sz val="10"/>
      <color rgb="FF1B5E20"/>
      <name val="Arial"/>
    </font>
    <font>
      <sz val="9"/>
      <color rgb="FF000000"/>
      <name val="Arial"/>
    </font>
    <font>
      <sz val="9"/>
      <color rgb="FF843C0C"/>
      <name val="Arial"/>
    </font>
    <font>
      <b/>
      <sz val="9"/>
      <color rgb="FF7030A0"/>
      <name val="Arial"/>
    </font>
    <font>
      <i/>
      <sz val="8"/>
      <color rgb="FFC0392B"/>
      <name val="Arial"/>
    </font>
    <font>
      <b/>
      <sz val="9"/>
      <color rgb="FFC0392B"/>
      <name val="Arial"/>
    </font>
    <font>
      <i/>
      <sz val="8"/>
      <color rgb="FF2E75B6"/>
      <name val="Arial"/>
    </font>
    <font>
      <b/>
      <sz val="10"/>
      <color rgb="FF000000"/>
      <name val="Arial"/>
    </font>
    <font>
      <b/>
      <sz val="9"/>
      <color rgb="FF2E7D32"/>
      <name val="Arial"/>
    </font>
    <font>
      <b/>
      <sz val="9"/>
      <color rgb="FF843C0C"/>
      <name val="Arial"/>
    </font>
    <font>
      <i/>
      <sz val="8"/>
      <color rgb="FF000000"/>
      <name val="Arial"/>
    </font>
    <font>
      <i/>
      <sz val="8"/>
      <color rgb="FF843C0C"/>
      <name val="Arial"/>
    </font>
    <font>
      <sz val="9"/>
      <color rgb="FF7030A0"/>
      <name val="Arial"/>
    </font>
    <font>
      <sz val="8"/>
      <color rgb="FF333333"/>
      <name val="Arial"/>
    </font>
    <font>
      <b/>
      <sz val="9"/>
      <color rgb="FF4A148C"/>
      <name val="Arial"/>
    </font>
    <font>
      <b/>
      <sz val="9"/>
      <color rgb="FF555555"/>
      <name val="Arial"/>
    </font>
    <font>
      <b/>
      <sz val="9"/>
      <color rgb="FF1F4E79"/>
      <name val="Arial"/>
    </font>
    <font>
      <sz val="9"/>
      <color rgb="FF555555"/>
      <name val="Arial"/>
    </font>
    <font>
      <sz val="9"/>
      <color rgb="FFC0392B"/>
      <name val="Arial"/>
    </font>
    <font>
      <sz val="9"/>
      <color rgb="FF1B5E20"/>
      <name val="Arial"/>
    </font>
    <font>
      <sz val="9"/>
      <color rgb="FF1F4E79"/>
      <name val="Arial"/>
    </font>
    <font>
      <sz val="9"/>
      <color rgb="FF333333"/>
      <name val="Arial"/>
    </font>
    <font>
      <sz val="8"/>
      <color rgb="FF000000"/>
      <name val="Arial"/>
    </font>
    <font>
      <i/>
      <sz val="8"/>
      <color rgb="FF1F4E79"/>
      <name val="Arial"/>
    </font>
    <font>
      <b/>
      <sz val="8"/>
      <color rgb="FF000000"/>
      <name val="Arial"/>
    </font>
    <font>
      <b/>
      <sz val="8"/>
      <color rgb="FF7D6608"/>
      <name val="Arial"/>
    </font>
    <font>
      <b/>
      <sz val="8"/>
      <color rgb="FF7030A0"/>
      <name val="Arial"/>
    </font>
    <font>
      <b/>
      <sz val="8"/>
      <color rgb="FFC0392B"/>
      <name val="Arial"/>
    </font>
    <font>
      <i/>
      <sz val="7"/>
      <color rgb="FF888888"/>
      <name val="Arial"/>
    </font>
    <font>
      <i/>
      <sz val="9"/>
      <color rgb="FF1B5E20"/>
      <name val="Arial"/>
    </font>
    <font>
      <i/>
      <sz val="9"/>
      <color rgb="FF7D6608"/>
      <name val="Arial"/>
    </font>
    <font>
      <i/>
      <sz val="9"/>
      <color rgb="FF4A148C"/>
      <name val="Arial"/>
    </font>
    <font>
      <i/>
      <sz val="7"/>
      <color rgb="FFC0392B"/>
      <name val="Arial"/>
    </font>
    <font>
      <i/>
      <sz val="8"/>
      <color rgb="FFF39C12"/>
      <name val="Arial"/>
    </font>
    <font>
      <b/>
      <sz val="10"/>
      <name val="Arial"/>
    </font>
    <font>
      <i/>
      <sz val="9"/>
      <name val="Arial"/>
    </font>
    <font>
      <i/>
      <sz val="8"/>
      <name val="Arial"/>
    </font>
    <font>
      <sz val="8"/>
      <name val="Consolas"/>
    </font>
  </fonts>
  <fills count="87">
    <fill>
      <patternFill patternType="none"/>
    </fill>
    <fill>
      <patternFill patternType="gray125"/>
    </fill>
    <fill>
      <patternFill patternType="solid">
        <fgColor rgb="FF2E75B6"/>
        <bgColor rgb="FF0070C0"/>
      </patternFill>
    </fill>
    <fill>
      <patternFill patternType="solid">
        <fgColor rgb="FFEBF3FB"/>
        <bgColor rgb="FFF2F2F2"/>
      </patternFill>
    </fill>
    <fill>
      <patternFill patternType="solid">
        <fgColor rgb="FFFFFFFF"/>
        <bgColor rgb="FFF9F9F9"/>
      </patternFill>
    </fill>
    <fill>
      <patternFill patternType="solid">
        <fgColor rgb="FFD9D9D9"/>
        <bgColor rgb="FFD0E4F5"/>
      </patternFill>
    </fill>
    <fill>
      <patternFill patternType="solid">
        <fgColor rgb="FF843C0C"/>
        <bgColor rgb="FF444444"/>
      </patternFill>
    </fill>
    <fill>
      <patternFill patternType="solid">
        <fgColor rgb="FFFFF2CC"/>
        <bgColor rgb="FFFFFACD"/>
      </patternFill>
    </fill>
    <fill>
      <patternFill patternType="solid">
        <fgColor rgb="FFF2F2F2"/>
        <bgColor rgb="FFF4F4F4"/>
      </patternFill>
    </fill>
    <fill>
      <patternFill patternType="solid">
        <fgColor rgb="FF1F4E79"/>
        <bgColor rgb="FF1F4E79"/>
      </patternFill>
    </fill>
    <fill>
      <patternFill patternType="solid">
        <fgColor rgb="FF2E75B6"/>
        <bgColor rgb="FF2E75B6"/>
      </patternFill>
    </fill>
    <fill>
      <patternFill patternType="solid">
        <fgColor rgb="FF1F4E79"/>
        <bgColor rgb="FF444444"/>
      </patternFill>
    </fill>
    <fill>
      <patternFill patternType="solid">
        <fgColor rgb="FFEBF3FB"/>
        <bgColor rgb="FFF4F4F4"/>
      </patternFill>
    </fill>
    <fill>
      <patternFill patternType="solid">
        <fgColor rgb="FFFFFFFF"/>
        <bgColor rgb="FFFFFDF5"/>
      </patternFill>
    </fill>
    <fill>
      <patternFill patternType="solid">
        <fgColor rgb="FFC5E0B4"/>
        <bgColor rgb="FFD9D9D9"/>
      </patternFill>
    </fill>
    <fill>
      <patternFill patternType="solid">
        <fgColor rgb="FFE2EFDA"/>
        <bgColor rgb="FFEEF9E8"/>
      </patternFill>
    </fill>
    <fill>
      <patternFill patternType="solid">
        <fgColor rgb="FF843C0C"/>
        <bgColor rgb="FF833C00"/>
      </patternFill>
    </fill>
    <fill>
      <patternFill patternType="solid">
        <fgColor rgb="FFFFD966"/>
        <bgColor rgb="FFFFF2CC"/>
      </patternFill>
    </fill>
    <fill>
      <patternFill patternType="solid">
        <fgColor rgb="FFF9F9F9"/>
        <bgColor rgb="FFFFF8F4"/>
      </patternFill>
    </fill>
    <fill>
      <patternFill patternType="solid">
        <fgColor rgb="FF3B3B3B"/>
        <bgColor rgb="FF404040"/>
      </patternFill>
    </fill>
    <fill>
      <patternFill patternType="solid">
        <fgColor rgb="FFD0E4F5"/>
        <bgColor rgb="FFD9D9D9"/>
      </patternFill>
    </fill>
    <fill>
      <patternFill patternType="solid">
        <fgColor rgb="FFF4F4F4"/>
        <bgColor rgb="FFF5F5F5"/>
      </patternFill>
    </fill>
    <fill>
      <patternFill patternType="solid">
        <fgColor rgb="FFE0E0E0"/>
        <bgColor rgb="FFE0E0E0"/>
      </patternFill>
    </fill>
    <fill>
      <patternFill patternType="solid">
        <fgColor rgb="FF375623"/>
        <bgColor rgb="FF375623"/>
      </patternFill>
    </fill>
    <fill>
      <patternFill patternType="solid">
        <fgColor rgb="FFC8E6C9"/>
        <bgColor rgb="FFC8E6C9"/>
      </patternFill>
    </fill>
    <fill>
      <patternFill patternType="solid">
        <fgColor rgb="FFF5F5F5"/>
        <bgColor rgb="FFF5F5F5"/>
      </patternFill>
    </fill>
    <fill>
      <patternFill patternType="solid">
        <fgColor rgb="FFFFE6E6"/>
        <bgColor rgb="FFFFEEEE"/>
      </patternFill>
    </fill>
    <fill>
      <patternFill patternType="solid">
        <fgColor rgb="FF404040"/>
        <bgColor rgb="FF444444"/>
      </patternFill>
    </fill>
    <fill>
      <patternFill patternType="solid">
        <fgColor rgb="FFC55A11"/>
        <bgColor rgb="FF843C0C"/>
      </patternFill>
    </fill>
    <fill>
      <patternFill patternType="solid">
        <fgColor rgb="FFC00000"/>
        <bgColor rgb="FF800000"/>
      </patternFill>
    </fill>
    <fill>
      <patternFill patternType="solid">
        <fgColor rgb="FF375623"/>
        <bgColor rgb="FF444444"/>
      </patternFill>
    </fill>
    <fill>
      <patternFill patternType="solid">
        <fgColor rgb="FF7030A0"/>
        <bgColor rgb="FF800080"/>
      </patternFill>
    </fill>
    <fill>
      <patternFill patternType="solid">
        <fgColor rgb="FF833C00"/>
        <bgColor rgb="FF843C0C"/>
      </patternFill>
    </fill>
    <fill>
      <patternFill patternType="solid">
        <fgColor rgb="FF595959"/>
        <bgColor rgb="FF444444"/>
      </patternFill>
    </fill>
    <fill>
      <patternFill patternType="solid">
        <fgColor rgb="FF333333"/>
        <bgColor rgb="FF3B3B3B"/>
      </patternFill>
    </fill>
    <fill>
      <patternFill patternType="solid">
        <fgColor rgb="FFFFF0E6"/>
        <bgColor rgb="FFFFEEEE"/>
      </patternFill>
    </fill>
    <fill>
      <patternFill patternType="solid">
        <fgColor rgb="FFFFEEEE"/>
        <bgColor rgb="FFFFF0F0"/>
      </patternFill>
    </fill>
    <fill>
      <patternFill patternType="solid">
        <fgColor rgb="FFFFFACD"/>
        <bgColor rgb="FFFFF2CC"/>
      </patternFill>
    </fill>
    <fill>
      <patternFill patternType="solid">
        <fgColor rgb="FFF4EBF9"/>
        <bgColor rgb="FFFAF2FF"/>
      </patternFill>
    </fill>
    <fill>
      <patternFill patternType="solid">
        <fgColor rgb="FFFDF5E6"/>
        <bgColor rgb="FFFFF0E6"/>
      </patternFill>
    </fill>
    <fill>
      <patternFill patternType="solid">
        <fgColor rgb="FFF5F5F5"/>
        <bgColor rgb="FFF4F4F4"/>
      </patternFill>
    </fill>
    <fill>
      <patternFill patternType="solid">
        <fgColor rgb="FFFFF0F0"/>
        <bgColor rgb="FFFFEEEE"/>
      </patternFill>
    </fill>
    <fill>
      <patternFill patternType="solid">
        <fgColor rgb="FFFFF8F4"/>
        <bgColor rgb="FFF9F9F9"/>
      </patternFill>
    </fill>
    <fill>
      <patternFill patternType="solid">
        <fgColor rgb="FFEEF9E8"/>
        <bgColor rgb="FFF4F4F4"/>
      </patternFill>
    </fill>
    <fill>
      <patternFill patternType="solid">
        <fgColor rgb="FFFAF2FF"/>
        <bgColor rgb="FFF5F5F5"/>
      </patternFill>
    </fill>
    <fill>
      <patternFill patternType="solid">
        <fgColor rgb="FFFFFDF5"/>
        <bgColor rgb="FFFFFFFF"/>
      </patternFill>
    </fill>
    <fill>
      <patternFill patternType="solid">
        <fgColor rgb="FFE8F8E8"/>
        <bgColor rgb="FFE8F8E8"/>
      </patternFill>
    </fill>
    <fill>
      <patternFill patternType="solid">
        <fgColor rgb="FF2E7D32"/>
        <bgColor rgb="FF2E7D32"/>
      </patternFill>
    </fill>
    <fill>
      <patternFill patternType="solid">
        <fgColor rgb="FFB7950B"/>
        <bgColor rgb="FFB7950B"/>
      </patternFill>
    </fill>
    <fill>
      <patternFill patternType="solid">
        <fgColor rgb="FFF7F7F7"/>
        <bgColor rgb="FFF7F7F7"/>
      </patternFill>
    </fill>
    <fill>
      <patternFill patternType="solid">
        <fgColor rgb="FFFFF9C4"/>
        <bgColor rgb="FFFFF9C4"/>
      </patternFill>
    </fill>
    <fill>
      <patternFill patternType="solid">
        <fgColor rgb="FFFFFFFF"/>
        <bgColor rgb="FFFFFFFF"/>
      </patternFill>
    </fill>
    <fill>
      <patternFill patternType="solid">
        <fgColor rgb="FF843C0C"/>
        <bgColor rgb="FF843C0C"/>
      </patternFill>
    </fill>
    <fill>
      <patternFill patternType="solid">
        <fgColor rgb="FF7030A0"/>
        <bgColor rgb="FF7030A0"/>
      </patternFill>
    </fill>
    <fill>
      <patternFill patternType="solid">
        <fgColor rgb="FFC0392B"/>
        <bgColor rgb="FFC0392B"/>
      </patternFill>
    </fill>
    <fill>
      <patternFill patternType="solid">
        <fgColor rgb="FFEDE0F5"/>
        <bgColor rgb="FFEDE0F5"/>
      </patternFill>
    </fill>
    <fill>
      <patternFill patternType="solid">
        <fgColor rgb="FFF39C12"/>
        <bgColor rgb="FFF39C12"/>
      </patternFill>
    </fill>
    <fill>
      <patternFill patternType="solid">
        <fgColor rgb="FFFEF9E7"/>
        <bgColor rgb="FFFEF9E7"/>
      </patternFill>
    </fill>
    <fill>
      <patternFill patternType="solid">
        <fgColor rgb="FFFFF3CD"/>
        <bgColor rgb="FFFFF3CD"/>
      </patternFill>
    </fill>
    <fill>
      <patternFill patternType="solid">
        <fgColor rgb="FFFDFAF1"/>
        <bgColor rgb="FFFDFAF1"/>
      </patternFill>
    </fill>
    <fill>
      <patternFill patternType="solid">
        <fgColor rgb="FFF1F8F1"/>
        <bgColor rgb="FFF1F8F1"/>
      </patternFill>
    </fill>
    <fill>
      <patternFill patternType="solid">
        <fgColor rgb="FF2F4F6F"/>
        <bgColor rgb="FF2F4F6F"/>
      </patternFill>
    </fill>
    <fill>
      <patternFill patternType="solid">
        <fgColor rgb="FF6A1B9A"/>
        <bgColor rgb="FF6A1B9A"/>
      </patternFill>
    </fill>
    <fill>
      <patternFill patternType="solid">
        <fgColor rgb="FFFFFDE7"/>
        <bgColor rgb="FFFFFDE7"/>
      </patternFill>
    </fill>
    <fill>
      <patternFill patternType="solid">
        <fgColor rgb="FFE2EFDA"/>
        <bgColor rgb="FFE2EFDA"/>
      </patternFill>
    </fill>
    <fill>
      <patternFill patternType="solid">
        <fgColor rgb="FFFFF8DC"/>
        <bgColor rgb="FFFFF8DC"/>
      </patternFill>
    </fill>
    <fill>
      <patternFill patternType="solid">
        <fgColor rgb="FFFFD700"/>
        <bgColor rgb="FFFFD700"/>
      </patternFill>
    </fill>
    <fill>
      <patternFill patternType="solid">
        <fgColor rgb="FFB8860B"/>
        <bgColor rgb="FFB8860B"/>
      </patternFill>
    </fill>
    <fill>
      <patternFill patternType="solid">
        <fgColor rgb="FFFBEEFF"/>
        <bgColor rgb="FFFBEEFF"/>
      </patternFill>
    </fill>
    <fill>
      <patternFill patternType="solid">
        <fgColor rgb="FFFDEDEC"/>
        <bgColor rgb="FFFDEDEC"/>
      </patternFill>
    </fill>
    <fill>
      <patternFill patternType="solid">
        <fgColor rgb="FFFADBD8"/>
        <bgColor rgb="FFFADBD8"/>
      </patternFill>
    </fill>
    <fill>
      <patternFill patternType="solid">
        <fgColor rgb="FFEBF3FB"/>
        <bgColor rgb="FFEBF3FB"/>
      </patternFill>
    </fill>
    <fill>
      <patternFill patternType="solid">
        <fgColor rgb="FFE0D4F7"/>
        <bgColor rgb="FFE0D4F7"/>
      </patternFill>
    </fill>
    <fill>
      <patternFill patternType="solid">
        <fgColor rgb="FF2F5496"/>
        <bgColor rgb="FF2F5496"/>
      </patternFill>
    </fill>
    <fill>
      <patternFill patternType="solid">
        <fgColor rgb="FFFFFF00"/>
      </patternFill>
    </fill>
    <fill>
      <patternFill patternType="solid">
        <fgColor rgb="FF808080"/>
      </patternFill>
    </fill>
    <fill>
      <patternFill patternType="solid">
        <fgColor rgb="FF7030A0"/>
      </patternFill>
    </fill>
    <fill>
      <patternFill patternType="solid">
        <fgColor rgb="FFC00000"/>
      </patternFill>
    </fill>
    <fill>
      <patternFill patternType="solid">
        <fgColor rgb="FFBF8F00"/>
      </patternFill>
    </fill>
    <fill>
      <patternFill patternType="solid">
        <fgColor rgb="FF2E7D32"/>
      </patternFill>
    </fill>
    <fill>
      <patternFill patternType="solid">
        <fgColor rgb="FF1565C0"/>
      </patternFill>
    </fill>
    <fill>
      <patternFill patternType="solid">
        <fgColor rgb="FFD9E1F2"/>
      </patternFill>
    </fill>
    <fill>
      <patternFill patternType="solid">
        <fgColor rgb="FF595959"/>
      </patternFill>
    </fill>
    <fill>
      <patternFill patternType="solid">
        <fgColor rgb="FFF2F2F2"/>
        <bgColor rgb="FFF2F2F2"/>
      </patternFill>
    </fill>
    <fill>
      <patternFill patternType="solid">
        <fgColor rgb="FFE2EFDA"/>
        <bgColor rgb="FFE2EFDA"/>
      </patternFill>
    </fill>
    <fill>
      <patternFill patternType="solid">
        <fgColor rgb="FFFFF2CC"/>
        <bgColor rgb="FFFFF2CC"/>
      </patternFill>
    </fill>
    <fill>
      <patternFill patternType="solid">
        <fgColor rgb="FFFCE4D6"/>
        <bgColor rgb="FFFCE4D6"/>
      </patternFill>
    </fill>
  </fills>
  <borders count="13">
    <border>
      <left/>
      <right/>
      <top/>
      <bottom/>
      <diagonal/>
    </border>
    <border>
      <left style="thin">
        <color rgb="FFAEAEAE"/>
      </left>
      <right style="thin">
        <color rgb="FFAEAEAE"/>
      </right>
      <top style="thin">
        <color rgb="FFAEAEAE"/>
      </top>
      <bottom style="thin">
        <color rgb="FFAEAEAE"/>
      </bottom>
      <diagonal/>
    </border>
    <border>
      <left style="thin">
        <color rgb="FFAEAEAE"/>
      </left>
      <right/>
      <top style="thin">
        <color rgb="FFAEAEAE"/>
      </top>
      <bottom/>
      <diagonal/>
    </border>
    <border>
      <left/>
      <right/>
      <top style="thin">
        <color rgb="FFAEAEAE"/>
      </top>
      <bottom/>
      <diagonal/>
    </border>
    <border>
      <left style="thin">
        <color rgb="FF888888"/>
      </left>
      <right style="thin">
        <color rgb="FF888888"/>
      </right>
      <top style="thin">
        <color rgb="FF888888"/>
      </top>
      <bottom style="thin">
        <color rgb="FF888888"/>
      </bottom>
      <diagonal/>
    </border>
    <border>
      <left style="thin">
        <color rgb="FFB8B8B8"/>
      </left>
      <right style="thin">
        <color rgb="FFB8B8B8"/>
      </right>
      <top style="thin">
        <color rgb="FFB8B8B8"/>
      </top>
      <bottom style="thin">
        <color rgb="FFB8B8B8"/>
      </bottom>
      <diagonal/>
    </border>
    <border>
      <left style="thin">
        <color rgb="FFB8B8B8"/>
      </left>
      <right/>
      <top style="thin">
        <color rgb="FFB8B8B8"/>
      </top>
      <bottom style="thin">
        <color rgb="FFB8B8B8"/>
      </bottom>
      <diagonal/>
    </border>
    <border>
      <left/>
      <right/>
      <top style="thin">
        <color rgb="FFB8B8B8"/>
      </top>
      <bottom style="thin">
        <color rgb="FFB8B8B8"/>
      </bottom>
      <diagonal/>
    </border>
    <border>
      <left style="thin">
        <color rgb="FFCCCCCC"/>
      </left>
      <right style="thin">
        <color rgb="FFCCCCCC"/>
      </right>
      <top style="thin">
        <color rgb="FFCCCCCC"/>
      </top>
      <bottom style="thin">
        <color rgb="FFCCCCCC"/>
      </bottom>
      <diagonal/>
    </border>
    <border>
      <left style="thin">
        <color rgb="FFAEAEAE"/>
      </left>
      <right/>
      <top style="thin">
        <color rgb="FFAEAEAE"/>
      </top>
      <bottom style="thin">
        <color rgb="FFAEAEAE"/>
      </bottom>
      <diagonal/>
    </border>
    <border>
      <left/>
      <right/>
      <top style="thin">
        <color rgb="FFAEAEAE"/>
      </top>
      <bottom style="thin">
        <color rgb="FFAEAEAE"/>
      </bottom>
      <diagonal/>
    </border>
    <border>
      <left/>
      <right/>
      <top style="thin">
        <color rgb="FF888888"/>
      </top>
      <bottom style="thin">
        <color rgb="FF888888"/>
      </bottom>
      <diagonal/>
    </border>
    <border>
      <left/>
      <right style="thin">
        <color rgb="FF888888"/>
      </right>
      <top style="thin">
        <color rgb="FF888888"/>
      </top>
      <bottom style="thin">
        <color rgb="FF888888"/>
      </bottom>
      <diagonal/>
    </border>
  </borders>
  <cellStyleXfs count="1">
    <xf numFmtId="0" fontId="0" fillId="0" borderId="0"/>
  </cellStyleXfs>
  <cellXfs count="476">
    <xf numFmtId="0" fontId="0" fillId="0" borderId="0" xfId="0"/>
    <xf numFmtId="0" fontId="2" fillId="2" borderId="1" xfId="0" applyFont="1" applyFill="1" applyBorder="1" applyAlignment="1">
      <alignment horizontal="center" vertical="center" wrapText="1"/>
    </xf>
    <xf numFmtId="0" fontId="3" fillId="0" borderId="0" xfId="0" applyFont="1" applyAlignment="1">
      <alignment horizontal="center" vertical="center" wrapText="1"/>
    </xf>
    <xf numFmtId="0" fontId="4" fillId="3" borderId="1" xfId="0" applyFont="1" applyFill="1" applyBorder="1" applyAlignment="1">
      <alignment horizontal="left" vertical="center"/>
    </xf>
    <xf numFmtId="3" fontId="5" fillId="3" borderId="1" xfId="0" applyNumberFormat="1" applyFont="1" applyFill="1" applyBorder="1" applyAlignment="1">
      <alignment horizontal="center" vertical="center"/>
    </xf>
    <xf numFmtId="0" fontId="6" fillId="0" borderId="0" xfId="0" applyFont="1" applyAlignment="1">
      <alignment vertical="center" wrapText="1"/>
    </xf>
    <xf numFmtId="0" fontId="4" fillId="4" borderId="1" xfId="0" applyFont="1" applyFill="1" applyBorder="1" applyAlignment="1">
      <alignment horizontal="left" vertical="center"/>
    </xf>
    <xf numFmtId="3" fontId="5" fillId="4" borderId="1" xfId="0" applyNumberFormat="1" applyFont="1" applyFill="1" applyBorder="1" applyAlignment="1">
      <alignment horizontal="center" vertical="center"/>
    </xf>
    <xf numFmtId="0" fontId="7" fillId="5" borderId="1" xfId="0" applyFont="1" applyFill="1" applyBorder="1" applyAlignment="1">
      <alignment horizontal="left" vertical="center"/>
    </xf>
    <xf numFmtId="3" fontId="7" fillId="5" borderId="1" xfId="0" applyNumberFormat="1" applyFont="1" applyFill="1" applyBorder="1" applyAlignment="1">
      <alignment horizontal="center" vertical="center"/>
    </xf>
    <xf numFmtId="0" fontId="2" fillId="6" borderId="1" xfId="0" applyFont="1" applyFill="1" applyBorder="1" applyAlignment="1">
      <alignment horizontal="center" vertical="center" wrapText="1"/>
    </xf>
    <xf numFmtId="0" fontId="4" fillId="7" borderId="1" xfId="0" applyFont="1" applyFill="1" applyBorder="1" applyAlignment="1">
      <alignment horizontal="left" vertical="center"/>
    </xf>
    <xf numFmtId="3" fontId="5" fillId="7" borderId="1" xfId="0" applyNumberFormat="1" applyFont="1" applyFill="1" applyBorder="1" applyAlignment="1">
      <alignment horizontal="center" vertical="center"/>
    </xf>
    <xf numFmtId="0" fontId="6" fillId="0" borderId="0" xfId="0" applyFont="1" applyAlignment="1">
      <alignment horizontal="center"/>
    </xf>
    <xf numFmtId="14" fontId="6" fillId="0" borderId="0" xfId="0" applyNumberFormat="1" applyFont="1"/>
    <xf numFmtId="3" fontId="6" fillId="0" borderId="0" xfId="0" applyNumberFormat="1" applyFont="1" applyAlignment="1">
      <alignment horizontal="center"/>
    </xf>
    <xf numFmtId="0" fontId="1" fillId="2" borderId="5" xfId="0" applyFont="1" applyFill="1" applyBorder="1" applyAlignment="1">
      <alignment horizontal="center" vertical="center"/>
    </xf>
    <xf numFmtId="0" fontId="4" fillId="12" borderId="5" xfId="0" applyFont="1" applyFill="1" applyBorder="1" applyAlignment="1">
      <alignment horizontal="left" vertical="center"/>
    </xf>
    <xf numFmtId="0" fontId="4" fillId="12" borderId="5" xfId="0" applyFont="1" applyFill="1" applyBorder="1" applyAlignment="1">
      <alignment horizontal="center" vertical="center"/>
    </xf>
    <xf numFmtId="0" fontId="5" fillId="12" borderId="5" xfId="0" applyFont="1" applyFill="1" applyBorder="1" applyAlignment="1">
      <alignment horizontal="center" vertical="center"/>
    </xf>
    <xf numFmtId="164" fontId="5" fillId="12" borderId="5" xfId="0" applyNumberFormat="1" applyFont="1" applyFill="1" applyBorder="1" applyAlignment="1">
      <alignment horizontal="center" vertical="center"/>
    </xf>
    <xf numFmtId="3" fontId="5" fillId="12" borderId="5" xfId="0" applyNumberFormat="1" applyFont="1" applyFill="1" applyBorder="1" applyAlignment="1">
      <alignment horizontal="center" vertical="center"/>
    </xf>
    <xf numFmtId="165" fontId="4" fillId="12" borderId="5" xfId="0" applyNumberFormat="1" applyFont="1" applyFill="1" applyBorder="1" applyAlignment="1">
      <alignment horizontal="center" vertical="center"/>
    </xf>
    <xf numFmtId="0" fontId="11" fillId="12" borderId="5" xfId="0" applyFont="1" applyFill="1" applyBorder="1" applyAlignment="1">
      <alignment horizontal="left" vertical="top" wrapText="1"/>
    </xf>
    <xf numFmtId="0" fontId="4" fillId="13" borderId="5" xfId="0" applyFont="1" applyFill="1" applyBorder="1" applyAlignment="1">
      <alignment horizontal="left" vertical="center"/>
    </xf>
    <xf numFmtId="0" fontId="4" fillId="13" borderId="5" xfId="0" applyFont="1" applyFill="1" applyBorder="1" applyAlignment="1">
      <alignment horizontal="center" vertical="center"/>
    </xf>
    <xf numFmtId="0" fontId="5" fillId="13" borderId="5" xfId="0" applyFont="1" applyFill="1" applyBorder="1" applyAlignment="1">
      <alignment horizontal="center" vertical="center"/>
    </xf>
    <xf numFmtId="164" fontId="5" fillId="13" borderId="5" xfId="0" applyNumberFormat="1" applyFont="1" applyFill="1" applyBorder="1" applyAlignment="1">
      <alignment horizontal="center" vertical="center"/>
    </xf>
    <xf numFmtId="3" fontId="5" fillId="13" borderId="5" xfId="0" applyNumberFormat="1" applyFont="1" applyFill="1" applyBorder="1" applyAlignment="1">
      <alignment horizontal="center" vertical="center"/>
    </xf>
    <xf numFmtId="165" fontId="4" fillId="13" borderId="5" xfId="0" applyNumberFormat="1" applyFont="1" applyFill="1" applyBorder="1" applyAlignment="1">
      <alignment horizontal="center" vertical="center"/>
    </xf>
    <xf numFmtId="0" fontId="11" fillId="13" borderId="5" xfId="0" applyFont="1" applyFill="1" applyBorder="1" applyAlignment="1">
      <alignment horizontal="left" vertical="top" wrapText="1"/>
    </xf>
    <xf numFmtId="3" fontId="7" fillId="14" borderId="5" xfId="0" applyNumberFormat="1" applyFont="1" applyFill="1" applyBorder="1" applyAlignment="1">
      <alignment horizontal="center" vertical="center"/>
    </xf>
    <xf numFmtId="165" fontId="7" fillId="14" borderId="5" xfId="0" applyNumberFormat="1" applyFont="1" applyFill="1" applyBorder="1" applyAlignment="1">
      <alignment horizontal="center" vertical="center"/>
    </xf>
    <xf numFmtId="166" fontId="12" fillId="15" borderId="5" xfId="0" applyNumberFormat="1" applyFont="1" applyFill="1" applyBorder="1" applyAlignment="1">
      <alignment horizontal="center" vertical="center"/>
    </xf>
    <xf numFmtId="0" fontId="13" fillId="14" borderId="5" xfId="0" applyFont="1" applyFill="1" applyBorder="1" applyAlignment="1">
      <alignment horizontal="left" vertical="top" wrapText="1"/>
    </xf>
    <xf numFmtId="0" fontId="4" fillId="7" borderId="5" xfId="0" applyFont="1" applyFill="1" applyBorder="1" applyAlignment="1">
      <alignment horizontal="left" vertical="center"/>
    </xf>
    <xf numFmtId="0" fontId="4" fillId="7" borderId="5" xfId="0" applyFont="1" applyFill="1" applyBorder="1" applyAlignment="1">
      <alignment horizontal="center" vertical="center"/>
    </xf>
    <xf numFmtId="0" fontId="5" fillId="7" borderId="5" xfId="0" applyFont="1" applyFill="1" applyBorder="1" applyAlignment="1">
      <alignment horizontal="center" vertical="center"/>
    </xf>
    <xf numFmtId="164" fontId="5" fillId="7" borderId="5" xfId="0" applyNumberFormat="1" applyFont="1" applyFill="1" applyBorder="1" applyAlignment="1">
      <alignment horizontal="center" vertical="center"/>
    </xf>
    <xf numFmtId="3" fontId="5" fillId="7" borderId="5" xfId="0" applyNumberFormat="1" applyFont="1" applyFill="1" applyBorder="1" applyAlignment="1">
      <alignment horizontal="center" vertical="center"/>
    </xf>
    <xf numFmtId="165" fontId="4" fillId="7" borderId="5" xfId="0" applyNumberFormat="1" applyFont="1" applyFill="1" applyBorder="1" applyAlignment="1">
      <alignment horizontal="center" vertical="center"/>
    </xf>
    <xf numFmtId="0" fontId="14" fillId="7" borderId="5" xfId="0" applyFont="1" applyFill="1" applyBorder="1" applyAlignment="1">
      <alignment horizontal="left" vertical="top" wrapText="1"/>
    </xf>
    <xf numFmtId="0" fontId="14" fillId="13" borderId="5" xfId="0" applyFont="1" applyFill="1" applyBorder="1" applyAlignment="1">
      <alignment horizontal="left" vertical="top" wrapText="1"/>
    </xf>
    <xf numFmtId="3" fontId="7" fillId="17" borderId="5" xfId="0" applyNumberFormat="1" applyFont="1" applyFill="1" applyBorder="1" applyAlignment="1">
      <alignment horizontal="center" vertical="center"/>
    </xf>
    <xf numFmtId="165" fontId="7" fillId="17" borderId="5" xfId="0" applyNumberFormat="1" applyFont="1" applyFill="1" applyBorder="1" applyAlignment="1">
      <alignment horizontal="center" vertical="center"/>
    </xf>
    <xf numFmtId="166" fontId="12" fillId="17" borderId="5" xfId="0" applyNumberFormat="1" applyFont="1" applyFill="1" applyBorder="1" applyAlignment="1">
      <alignment horizontal="center" vertical="center"/>
    </xf>
    <xf numFmtId="0" fontId="13" fillId="17" borderId="5" xfId="0" applyFont="1" applyFill="1" applyBorder="1" applyAlignment="1">
      <alignment horizontal="left" vertical="top" wrapText="1"/>
    </xf>
    <xf numFmtId="0" fontId="16" fillId="20" borderId="5" xfId="0" applyFont="1" applyFill="1" applyBorder="1" applyAlignment="1">
      <alignment horizontal="left" vertical="top" wrapText="1"/>
    </xf>
    <xf numFmtId="0" fontId="0" fillId="22" borderId="0" xfId="0" applyFill="1"/>
    <xf numFmtId="0" fontId="18" fillId="23" borderId="8" xfId="0" applyFont="1" applyFill="1" applyBorder="1" applyAlignment="1">
      <alignment horizontal="left" vertical="center"/>
    </xf>
    <xf numFmtId="164" fontId="19" fillId="24" borderId="8" xfId="0" applyNumberFormat="1" applyFont="1" applyFill="1" applyBorder="1" applyAlignment="1">
      <alignment horizontal="center"/>
    </xf>
    <xf numFmtId="0" fontId="22" fillId="0" borderId="1" xfId="0" applyFont="1" applyBorder="1" applyAlignment="1">
      <alignment horizontal="right" vertical="center"/>
    </xf>
    <xf numFmtId="2" fontId="23" fillId="7" borderId="1" xfId="0" applyNumberFormat="1" applyFont="1" applyFill="1" applyBorder="1" applyAlignment="1">
      <alignment horizontal="center" vertical="center"/>
    </xf>
    <xf numFmtId="2" fontId="24" fillId="14" borderId="1" xfId="0" applyNumberFormat="1" applyFont="1" applyFill="1" applyBorder="1" applyAlignment="1">
      <alignment horizontal="center" vertical="center"/>
    </xf>
    <xf numFmtId="0" fontId="15" fillId="0" borderId="1" xfId="0" applyFont="1" applyBorder="1" applyAlignment="1">
      <alignment horizontal="left" vertical="center" wrapText="1"/>
    </xf>
    <xf numFmtId="0" fontId="25" fillId="0" borderId="1" xfId="0" applyFont="1" applyBorder="1" applyAlignment="1">
      <alignment horizontal="right" vertical="center"/>
    </xf>
    <xf numFmtId="9" fontId="26" fillId="26" borderId="1" xfId="0" applyNumberFormat="1" applyFont="1" applyFill="1" applyBorder="1" applyAlignment="1">
      <alignment horizontal="center" vertical="center"/>
    </xf>
    <xf numFmtId="0" fontId="2" fillId="27" borderId="1" xfId="0" applyFont="1" applyFill="1" applyBorder="1" applyAlignment="1">
      <alignment horizontal="center" vertical="center" wrapText="1"/>
    </xf>
    <xf numFmtId="0" fontId="2" fillId="28" borderId="1" xfId="0" applyFont="1" applyFill="1" applyBorder="1" applyAlignment="1">
      <alignment horizontal="center" vertical="center" wrapText="1"/>
    </xf>
    <xf numFmtId="0" fontId="2" fillId="29" borderId="1" xfId="0" applyFont="1" applyFill="1" applyBorder="1" applyAlignment="1">
      <alignment horizontal="center" vertical="center" wrapText="1"/>
    </xf>
    <xf numFmtId="0" fontId="2" fillId="30" borderId="1" xfId="0" applyFont="1" applyFill="1" applyBorder="1" applyAlignment="1">
      <alignment horizontal="center" vertical="center" wrapText="1"/>
    </xf>
    <xf numFmtId="0" fontId="2" fillId="31" borderId="1" xfId="0" applyFont="1" applyFill="1" applyBorder="1" applyAlignment="1">
      <alignment horizontal="center" vertical="center" wrapText="1"/>
    </xf>
    <xf numFmtId="0" fontId="2" fillId="32" borderId="1" xfId="0" applyFont="1" applyFill="1" applyBorder="1" applyAlignment="1">
      <alignment horizontal="center" vertical="center" wrapText="1"/>
    </xf>
    <xf numFmtId="0" fontId="2" fillId="16" borderId="1" xfId="0" applyFont="1" applyFill="1" applyBorder="1" applyAlignment="1">
      <alignment horizontal="center" vertical="center" wrapText="1"/>
    </xf>
    <xf numFmtId="0" fontId="2" fillId="33" borderId="1" xfId="0" applyFont="1" applyFill="1" applyBorder="1" applyAlignment="1">
      <alignment horizontal="center" vertical="center" wrapText="1"/>
    </xf>
    <xf numFmtId="0" fontId="2" fillId="34" borderId="1" xfId="0" applyFont="1" applyFill="1" applyBorder="1" applyAlignment="1">
      <alignment horizontal="center" vertical="center" wrapText="1"/>
    </xf>
    <xf numFmtId="0" fontId="4" fillId="12" borderId="1" xfId="0" applyFont="1" applyFill="1" applyBorder="1" applyAlignment="1">
      <alignment horizontal="left" vertical="center"/>
    </xf>
    <xf numFmtId="3" fontId="5" fillId="12" borderId="1" xfId="0" applyNumberFormat="1" applyFont="1" applyFill="1" applyBorder="1" applyAlignment="1">
      <alignment horizontal="center" vertical="center"/>
    </xf>
    <xf numFmtId="0" fontId="5" fillId="12" borderId="1" xfId="0" applyFont="1" applyFill="1" applyBorder="1" applyAlignment="1">
      <alignment horizontal="center" vertical="center"/>
    </xf>
    <xf numFmtId="164" fontId="5" fillId="12" borderId="1" xfId="0" applyNumberFormat="1" applyFont="1" applyFill="1" applyBorder="1" applyAlignment="1">
      <alignment horizontal="center" vertical="center"/>
    </xf>
    <xf numFmtId="165" fontId="4" fillId="35" borderId="1" xfId="0" applyNumberFormat="1" applyFont="1" applyFill="1" applyBorder="1" applyAlignment="1">
      <alignment horizontal="center" vertical="center"/>
    </xf>
    <xf numFmtId="0" fontId="25" fillId="36" borderId="1" xfId="0" applyFont="1" applyFill="1" applyBorder="1" applyAlignment="1">
      <alignment horizontal="center" vertical="center"/>
    </xf>
    <xf numFmtId="167" fontId="4" fillId="15" borderId="1" xfId="0" applyNumberFormat="1" applyFont="1" applyFill="1" applyBorder="1" applyAlignment="1">
      <alignment horizontal="center" vertical="center"/>
    </xf>
    <xf numFmtId="167" fontId="7" fillId="37" borderId="1" xfId="0" applyNumberFormat="1" applyFont="1" applyFill="1" applyBorder="1" applyAlignment="1">
      <alignment horizontal="center" vertical="center"/>
    </xf>
    <xf numFmtId="165" fontId="4" fillId="38" borderId="1" xfId="0" applyNumberFormat="1" applyFont="1" applyFill="1" applyBorder="1" applyAlignment="1">
      <alignment horizontal="center" vertical="center"/>
    </xf>
    <xf numFmtId="165" fontId="7" fillId="38" borderId="1" xfId="0" applyNumberFormat="1" applyFont="1" applyFill="1" applyBorder="1" applyAlignment="1">
      <alignment horizontal="center" vertical="center"/>
    </xf>
    <xf numFmtId="165" fontId="4" fillId="39" borderId="1" xfId="0" applyNumberFormat="1" applyFont="1" applyFill="1" applyBorder="1" applyAlignment="1">
      <alignment horizontal="center" vertical="center"/>
    </xf>
    <xf numFmtId="165" fontId="28" fillId="40" borderId="1" xfId="0" applyNumberFormat="1" applyFont="1" applyFill="1" applyBorder="1" applyAlignment="1">
      <alignment horizontal="center" vertical="center"/>
    </xf>
    <xf numFmtId="168" fontId="4" fillId="41" borderId="1" xfId="0" applyNumberFormat="1" applyFont="1" applyFill="1" applyBorder="1" applyAlignment="1">
      <alignment horizontal="center" vertical="center"/>
    </xf>
    <xf numFmtId="0" fontId="15" fillId="12" borderId="1" xfId="0" applyFont="1" applyFill="1" applyBorder="1" applyAlignment="1">
      <alignment horizontal="left" vertical="center" wrapText="1"/>
    </xf>
    <xf numFmtId="0" fontId="4" fillId="13" borderId="1" xfId="0" applyFont="1" applyFill="1" applyBorder="1" applyAlignment="1">
      <alignment horizontal="left" vertical="center"/>
    </xf>
    <xf numFmtId="3" fontId="5" fillId="13" borderId="1" xfId="0" applyNumberFormat="1" applyFont="1" applyFill="1" applyBorder="1" applyAlignment="1">
      <alignment horizontal="center" vertical="center"/>
    </xf>
    <xf numFmtId="0" fontId="5" fillId="13" borderId="1" xfId="0" applyFont="1" applyFill="1" applyBorder="1" applyAlignment="1">
      <alignment horizontal="center" vertical="center"/>
    </xf>
    <xf numFmtId="164" fontId="5" fillId="13" borderId="1" xfId="0" applyNumberFormat="1" applyFont="1" applyFill="1" applyBorder="1" applyAlignment="1">
      <alignment horizontal="center" vertical="center"/>
    </xf>
    <xf numFmtId="165" fontId="4" fillId="42" borderId="1" xfId="0" applyNumberFormat="1" applyFont="1" applyFill="1" applyBorder="1" applyAlignment="1">
      <alignment horizontal="center" vertical="center"/>
    </xf>
    <xf numFmtId="167" fontId="4" fillId="43" borderId="1" xfId="0" applyNumberFormat="1" applyFont="1" applyFill="1" applyBorder="1" applyAlignment="1">
      <alignment horizontal="center" vertical="center"/>
    </xf>
    <xf numFmtId="165" fontId="4" fillId="44" borderId="1" xfId="0" applyNumberFormat="1" applyFont="1" applyFill="1" applyBorder="1" applyAlignment="1">
      <alignment horizontal="center" vertical="center"/>
    </xf>
    <xf numFmtId="165" fontId="7" fillId="44" borderId="1" xfId="0" applyNumberFormat="1" applyFont="1" applyFill="1" applyBorder="1" applyAlignment="1">
      <alignment horizontal="center" vertical="center"/>
    </xf>
    <xf numFmtId="165" fontId="4" fillId="45" borderId="1" xfId="0" applyNumberFormat="1" applyFont="1" applyFill="1" applyBorder="1" applyAlignment="1">
      <alignment horizontal="center" vertical="center"/>
    </xf>
    <xf numFmtId="168" fontId="4" fillId="13" borderId="1" xfId="0" applyNumberFormat="1" applyFont="1" applyFill="1" applyBorder="1" applyAlignment="1">
      <alignment horizontal="center" vertical="center"/>
    </xf>
    <xf numFmtId="0" fontId="15" fillId="13" borderId="1" xfId="0" applyFont="1" applyFill="1" applyBorder="1" applyAlignment="1">
      <alignment horizontal="left" vertical="center" wrapText="1"/>
    </xf>
    <xf numFmtId="0" fontId="4" fillId="5" borderId="1" xfId="0" applyFont="1" applyFill="1" applyBorder="1" applyAlignment="1">
      <alignment horizontal="left" vertical="center"/>
    </xf>
    <xf numFmtId="165" fontId="7" fillId="5" borderId="1" xfId="0" applyNumberFormat="1" applyFont="1" applyFill="1" applyBorder="1" applyAlignment="1">
      <alignment horizontal="center" vertical="center"/>
    </xf>
    <xf numFmtId="167" fontId="7" fillId="5" borderId="1" xfId="0" applyNumberFormat="1" applyFont="1" applyFill="1" applyBorder="1" applyAlignment="1">
      <alignment horizontal="center" vertical="center"/>
    </xf>
    <xf numFmtId="168" fontId="7" fillId="5" borderId="1" xfId="0" applyNumberFormat="1" applyFont="1" applyFill="1" applyBorder="1" applyAlignment="1">
      <alignment horizontal="center" vertical="center"/>
    </xf>
    <xf numFmtId="0" fontId="29" fillId="5" borderId="1" xfId="0" applyFont="1" applyFill="1" applyBorder="1" applyAlignment="1">
      <alignment horizontal="left" vertical="center" wrapText="1"/>
    </xf>
    <xf numFmtId="165" fontId="12" fillId="17" borderId="1" xfId="0" applyNumberFormat="1" applyFont="1" applyFill="1" applyBorder="1" applyAlignment="1">
      <alignment horizontal="center" vertical="center"/>
    </xf>
    <xf numFmtId="0" fontId="4" fillId="17" borderId="1" xfId="0" applyFont="1" applyFill="1" applyBorder="1" applyAlignment="1">
      <alignment horizontal="left" vertical="center"/>
    </xf>
    <xf numFmtId="165" fontId="32" fillId="7" borderId="1" xfId="0" applyNumberFormat="1" applyFont="1" applyFill="1" applyBorder="1" applyAlignment="1">
      <alignment horizontal="center" vertical="center"/>
    </xf>
    <xf numFmtId="0" fontId="5" fillId="7" borderId="1" xfId="0" applyFont="1" applyFill="1" applyBorder="1" applyAlignment="1">
      <alignment horizontal="center" vertical="center"/>
    </xf>
    <xf numFmtId="164" fontId="5" fillId="7" borderId="1" xfId="0" applyNumberFormat="1" applyFont="1" applyFill="1" applyBorder="1" applyAlignment="1">
      <alignment horizontal="center" vertical="center"/>
    </xf>
    <xf numFmtId="0" fontId="15" fillId="7" borderId="1" xfId="0" applyFont="1" applyFill="1" applyBorder="1" applyAlignment="1">
      <alignment horizontal="left" vertical="center" wrapText="1"/>
    </xf>
    <xf numFmtId="0" fontId="16" fillId="20" borderId="1" xfId="0" applyFont="1" applyFill="1" applyBorder="1" applyAlignment="1">
      <alignment horizontal="left" vertical="top" wrapText="1"/>
    </xf>
    <xf numFmtId="0" fontId="35" fillId="23" borderId="8" xfId="0" applyFont="1" applyFill="1" applyBorder="1" applyAlignment="1">
      <alignment horizontal="center" vertical="center"/>
    </xf>
    <xf numFmtId="0" fontId="35" fillId="47" borderId="8" xfId="0" applyFont="1" applyFill="1" applyBorder="1" applyAlignment="1">
      <alignment horizontal="center" vertical="center"/>
    </xf>
    <xf numFmtId="0" fontId="35" fillId="48" borderId="8" xfId="0" applyFont="1" applyFill="1" applyBorder="1" applyAlignment="1">
      <alignment horizontal="center" vertical="center"/>
    </xf>
    <xf numFmtId="0" fontId="36" fillId="49" borderId="8" xfId="0" applyFont="1" applyFill="1" applyBorder="1" applyAlignment="1">
      <alignment horizontal="center" vertical="center"/>
    </xf>
    <xf numFmtId="165" fontId="37" fillId="50" borderId="8" xfId="0" applyNumberFormat="1" applyFont="1" applyFill="1" applyBorder="1" applyAlignment="1">
      <alignment horizontal="center"/>
    </xf>
    <xf numFmtId="1" fontId="37" fillId="50" borderId="8" xfId="0" applyNumberFormat="1" applyFont="1" applyFill="1" applyBorder="1" applyAlignment="1">
      <alignment horizontal="center"/>
    </xf>
    <xf numFmtId="9" fontId="37" fillId="50" borderId="8" xfId="0" applyNumberFormat="1" applyFont="1" applyFill="1" applyBorder="1" applyAlignment="1">
      <alignment horizontal="center"/>
    </xf>
    <xf numFmtId="0" fontId="36" fillId="51" borderId="8" xfId="0" applyFont="1" applyFill="1" applyBorder="1" applyAlignment="1">
      <alignment horizontal="center" vertical="center"/>
    </xf>
    <xf numFmtId="0" fontId="39" fillId="57" borderId="8" xfId="0" applyFont="1" applyFill="1" applyBorder="1" applyAlignment="1">
      <alignment horizontal="left" vertical="center"/>
    </xf>
    <xf numFmtId="2" fontId="40" fillId="58" borderId="8" xfId="0" applyNumberFormat="1" applyFont="1" applyFill="1" applyBorder="1" applyAlignment="1">
      <alignment horizontal="center"/>
    </xf>
    <xf numFmtId="0" fontId="42" fillId="46" borderId="8" xfId="0" applyFont="1" applyFill="1" applyBorder="1" applyAlignment="1">
      <alignment horizontal="left" vertical="center"/>
    </xf>
    <xf numFmtId="167" fontId="42" fillId="24" borderId="8" xfId="0" applyNumberFormat="1" applyFont="1" applyFill="1" applyBorder="1" applyAlignment="1">
      <alignment horizontal="center"/>
    </xf>
    <xf numFmtId="0" fontId="18" fillId="9" borderId="8" xfId="0" applyFont="1" applyFill="1" applyBorder="1" applyAlignment="1">
      <alignment horizontal="center" vertical="center" wrapText="1"/>
    </xf>
    <xf numFmtId="0" fontId="18" fillId="62" borderId="8" xfId="0" applyFont="1" applyFill="1" applyBorder="1" applyAlignment="1">
      <alignment horizontal="center" vertical="center" wrapText="1"/>
    </xf>
    <xf numFmtId="0" fontId="18" fillId="48" borderId="8" xfId="0" applyFont="1" applyFill="1" applyBorder="1" applyAlignment="1">
      <alignment horizontal="center" vertical="center" wrapText="1"/>
    </xf>
    <xf numFmtId="0" fontId="43" fillId="61" borderId="8" xfId="0" applyFont="1" applyFill="1" applyBorder="1" applyAlignment="1">
      <alignment horizontal="center" vertical="center" wrapText="1"/>
    </xf>
    <xf numFmtId="0" fontId="60" fillId="0" borderId="0" xfId="0" applyFont="1" applyAlignment="1">
      <alignment horizontal="center"/>
    </xf>
    <xf numFmtId="165" fontId="44" fillId="49" borderId="8" xfId="0" applyNumberFormat="1" applyFont="1" applyFill="1" applyBorder="1" applyAlignment="1">
      <alignment horizontal="center"/>
    </xf>
    <xf numFmtId="0" fontId="45" fillId="49" borderId="8" xfId="0" applyFont="1" applyFill="1" applyBorder="1" applyAlignment="1">
      <alignment horizontal="center"/>
    </xf>
    <xf numFmtId="167" fontId="44" fillId="49" borderId="8" xfId="0" applyNumberFormat="1" applyFont="1" applyFill="1" applyBorder="1" applyAlignment="1">
      <alignment horizontal="center"/>
    </xf>
    <xf numFmtId="167" fontId="44" fillId="63" borderId="8" xfId="0" applyNumberFormat="1" applyFont="1" applyFill="1" applyBorder="1" applyAlignment="1">
      <alignment horizontal="center"/>
    </xf>
    <xf numFmtId="0" fontId="46" fillId="0" borderId="8" xfId="0" applyFont="1" applyBorder="1" applyAlignment="1">
      <alignment horizontal="center"/>
    </xf>
    <xf numFmtId="0" fontId="47" fillId="0" borderId="8" xfId="0" applyFont="1" applyBorder="1" applyAlignment="1">
      <alignment horizontal="center"/>
    </xf>
    <xf numFmtId="169" fontId="49" fillId="65" borderId="8" xfId="0" applyNumberFormat="1" applyFont="1" applyFill="1" applyBorder="1" applyAlignment="1">
      <alignment horizontal="center"/>
    </xf>
    <xf numFmtId="165" fontId="49" fillId="66" borderId="8" xfId="0" applyNumberFormat="1" applyFont="1" applyFill="1" applyBorder="1" applyAlignment="1">
      <alignment horizontal="center"/>
    </xf>
    <xf numFmtId="165" fontId="50" fillId="49" borderId="8" xfId="0" applyNumberFormat="1" applyFont="1" applyFill="1" applyBorder="1" applyAlignment="1">
      <alignment horizontal="center" vertical="center"/>
    </xf>
    <xf numFmtId="165" fontId="51" fillId="49" borderId="8" xfId="0" applyNumberFormat="1" applyFont="1" applyFill="1" applyBorder="1" applyAlignment="1">
      <alignment horizontal="center" vertical="center"/>
    </xf>
    <xf numFmtId="170" fontId="44" fillId="49" borderId="8" xfId="0" applyNumberFormat="1" applyFont="1" applyFill="1" applyBorder="1" applyAlignment="1">
      <alignment horizontal="center"/>
    </xf>
    <xf numFmtId="165" fontId="42" fillId="24" borderId="8" xfId="0" applyNumberFormat="1" applyFont="1" applyFill="1" applyBorder="1" applyAlignment="1">
      <alignment horizontal="center"/>
    </xf>
    <xf numFmtId="0" fontId="52" fillId="49" borderId="8" xfId="0" applyFont="1" applyFill="1" applyBorder="1" applyAlignment="1">
      <alignment horizontal="center"/>
    </xf>
    <xf numFmtId="169" fontId="53" fillId="0" borderId="0" xfId="0" applyNumberFormat="1" applyFont="1" applyAlignment="1">
      <alignment horizontal="center"/>
    </xf>
    <xf numFmtId="2" fontId="53" fillId="0" borderId="0" xfId="0" applyNumberFormat="1" applyFont="1" applyAlignment="1">
      <alignment horizontal="center"/>
    </xf>
    <xf numFmtId="1" fontId="44" fillId="49" borderId="8" xfId="0" applyNumberFormat="1" applyFont="1" applyFill="1" applyBorder="1" applyAlignment="1">
      <alignment horizontal="center"/>
    </xf>
    <xf numFmtId="9" fontId="44" fillId="49" borderId="8" xfId="0" applyNumberFormat="1" applyFont="1" applyFill="1" applyBorder="1" applyAlignment="1">
      <alignment horizontal="center"/>
    </xf>
    <xf numFmtId="165" fontId="44" fillId="51" borderId="8" xfId="0" applyNumberFormat="1" applyFont="1" applyFill="1" applyBorder="1" applyAlignment="1">
      <alignment horizontal="center"/>
    </xf>
    <xf numFmtId="0" fontId="45" fillId="51" borderId="8" xfId="0" applyFont="1" applyFill="1" applyBorder="1" applyAlignment="1">
      <alignment horizontal="center"/>
    </xf>
    <xf numFmtId="167" fontId="44" fillId="51" borderId="8" xfId="0" applyNumberFormat="1" applyFont="1" applyFill="1" applyBorder="1" applyAlignment="1">
      <alignment horizontal="center"/>
    </xf>
    <xf numFmtId="165" fontId="50" fillId="51" borderId="8" xfId="0" applyNumberFormat="1" applyFont="1" applyFill="1" applyBorder="1" applyAlignment="1">
      <alignment horizontal="center" vertical="center"/>
    </xf>
    <xf numFmtId="165" fontId="51" fillId="51" borderId="8" xfId="0" applyNumberFormat="1" applyFont="1" applyFill="1" applyBorder="1" applyAlignment="1">
      <alignment horizontal="center" vertical="center"/>
    </xf>
    <xf numFmtId="170" fontId="44" fillId="51" borderId="8" xfId="0" applyNumberFormat="1" applyFont="1" applyFill="1" applyBorder="1" applyAlignment="1">
      <alignment horizontal="center"/>
    </xf>
    <xf numFmtId="0" fontId="52" fillId="51" borderId="8" xfId="0" applyFont="1" applyFill="1" applyBorder="1" applyAlignment="1">
      <alignment horizontal="center"/>
    </xf>
    <xf numFmtId="1" fontId="44" fillId="51" borderId="8" xfId="0" applyNumberFormat="1" applyFont="1" applyFill="1" applyBorder="1" applyAlignment="1">
      <alignment horizontal="center"/>
    </xf>
    <xf numFmtId="9" fontId="44" fillId="51" borderId="8" xfId="0" applyNumberFormat="1" applyFont="1" applyFill="1" applyBorder="1" applyAlignment="1">
      <alignment horizontal="center"/>
    </xf>
    <xf numFmtId="0" fontId="35" fillId="61" borderId="8" xfId="0" applyFont="1" applyFill="1" applyBorder="1" applyAlignment="1">
      <alignment horizontal="left" vertical="center"/>
    </xf>
    <xf numFmtId="165" fontId="35" fillId="61" borderId="8" xfId="0" applyNumberFormat="1" applyFont="1" applyFill="1" applyBorder="1" applyAlignment="1">
      <alignment horizontal="center"/>
    </xf>
    <xf numFmtId="0" fontId="35" fillId="61" borderId="8" xfId="0" applyFont="1" applyFill="1" applyBorder="1" applyAlignment="1">
      <alignment horizontal="center"/>
    </xf>
    <xf numFmtId="170" fontId="35" fillId="61" borderId="8" xfId="0" applyNumberFormat="1" applyFont="1" applyFill="1" applyBorder="1" applyAlignment="1">
      <alignment horizontal="center"/>
    </xf>
    <xf numFmtId="0" fontId="54" fillId="49" borderId="8" xfId="0" applyFont="1" applyFill="1" applyBorder="1" applyAlignment="1">
      <alignment horizontal="center"/>
    </xf>
    <xf numFmtId="0" fontId="54" fillId="51" borderId="8" xfId="0" applyFont="1" applyFill="1" applyBorder="1" applyAlignment="1">
      <alignment horizontal="center"/>
    </xf>
    <xf numFmtId="0" fontId="18" fillId="67" borderId="8" xfId="0" applyFont="1" applyFill="1" applyBorder="1" applyAlignment="1">
      <alignment horizontal="center" vertical="center" wrapText="1"/>
    </xf>
    <xf numFmtId="0" fontId="48" fillId="64" borderId="8" xfId="0" applyFont="1" applyFill="1" applyBorder="1" applyAlignment="1">
      <alignment horizontal="center"/>
    </xf>
    <xf numFmtId="171" fontId="55" fillId="49" borderId="8" xfId="0" applyNumberFormat="1" applyFont="1" applyFill="1" applyBorder="1" applyAlignment="1">
      <alignment horizontal="center"/>
    </xf>
    <xf numFmtId="171" fontId="56" fillId="49" borderId="8" xfId="0" applyNumberFormat="1" applyFont="1" applyFill="1" applyBorder="1" applyAlignment="1">
      <alignment horizontal="center"/>
    </xf>
    <xf numFmtId="49" fontId="57" fillId="49" borderId="8" xfId="0" applyNumberFormat="1" applyFont="1" applyFill="1" applyBorder="1" applyAlignment="1">
      <alignment horizontal="center" wrapText="1"/>
    </xf>
    <xf numFmtId="49" fontId="58" fillId="49" borderId="8" xfId="0" applyNumberFormat="1" applyFont="1" applyFill="1" applyBorder="1" applyAlignment="1">
      <alignment horizontal="center" wrapText="1"/>
    </xf>
    <xf numFmtId="171" fontId="59" fillId="49" borderId="8" xfId="0" applyNumberFormat="1" applyFont="1" applyFill="1" applyBorder="1" applyAlignment="1">
      <alignment horizontal="center"/>
    </xf>
    <xf numFmtId="171" fontId="55" fillId="51" borderId="8" xfId="0" applyNumberFormat="1" applyFont="1" applyFill="1" applyBorder="1" applyAlignment="1">
      <alignment horizontal="center"/>
    </xf>
    <xf numFmtId="171" fontId="56" fillId="51" borderId="8" xfId="0" applyNumberFormat="1" applyFont="1" applyFill="1" applyBorder="1" applyAlignment="1">
      <alignment horizontal="center"/>
    </xf>
    <xf numFmtId="49" fontId="57" fillId="51" borderId="8" xfId="0" applyNumberFormat="1" applyFont="1" applyFill="1" applyBorder="1" applyAlignment="1">
      <alignment horizontal="center" wrapText="1"/>
    </xf>
    <xf numFmtId="49" fontId="58" fillId="51" borderId="8" xfId="0" applyNumberFormat="1" applyFont="1" applyFill="1" applyBorder="1" applyAlignment="1">
      <alignment horizontal="center" wrapText="1"/>
    </xf>
    <xf numFmtId="171" fontId="59" fillId="51" borderId="8" xfId="0" applyNumberFormat="1" applyFont="1" applyFill="1" applyBorder="1" applyAlignment="1">
      <alignment horizontal="center"/>
    </xf>
    <xf numFmtId="2" fontId="61" fillId="24" borderId="8" xfId="0" applyNumberFormat="1" applyFont="1" applyFill="1" applyBorder="1" applyAlignment="1">
      <alignment horizontal="center"/>
    </xf>
    <xf numFmtId="0" fontId="35" fillId="9" borderId="8" xfId="0" applyFont="1" applyFill="1" applyBorder="1" applyAlignment="1">
      <alignment horizontal="center" vertical="center"/>
    </xf>
    <xf numFmtId="0" fontId="35" fillId="56" borderId="8" xfId="0" applyFont="1" applyFill="1" applyBorder="1" applyAlignment="1">
      <alignment horizontal="center" vertical="center"/>
    </xf>
    <xf numFmtId="0" fontId="35" fillId="53" borderId="8" xfId="0" applyFont="1" applyFill="1" applyBorder="1" applyAlignment="1">
      <alignment horizontal="center" vertical="center"/>
    </xf>
    <xf numFmtId="0" fontId="35" fillId="52" borderId="8" xfId="0" applyFont="1" applyFill="1" applyBorder="1" applyAlignment="1">
      <alignment horizontal="center" vertical="center"/>
    </xf>
    <xf numFmtId="165" fontId="49" fillId="65" borderId="8" xfId="0" applyNumberFormat="1" applyFont="1" applyFill="1" applyBorder="1" applyAlignment="1">
      <alignment horizontal="center"/>
    </xf>
    <xf numFmtId="170" fontId="62" fillId="49" borderId="8" xfId="0" applyNumberFormat="1" applyFont="1" applyFill="1" applyBorder="1" applyAlignment="1">
      <alignment horizontal="center"/>
    </xf>
    <xf numFmtId="164" fontId="62" fillId="49" borderId="8" xfId="0" applyNumberFormat="1" applyFont="1" applyFill="1" applyBorder="1" applyAlignment="1">
      <alignment horizontal="center"/>
    </xf>
    <xf numFmtId="49" fontId="63" fillId="49" borderId="8" xfId="0" applyNumberFormat="1" applyFont="1" applyFill="1" applyBorder="1" applyAlignment="1">
      <alignment horizontal="center"/>
    </xf>
    <xf numFmtId="165" fontId="64" fillId="55" borderId="8" xfId="0" applyNumberFormat="1" applyFont="1" applyFill="1" applyBorder="1" applyAlignment="1">
      <alignment horizontal="center"/>
    </xf>
    <xf numFmtId="170" fontId="63" fillId="49" borderId="8" xfId="0" applyNumberFormat="1" applyFont="1" applyFill="1" applyBorder="1" applyAlignment="1">
      <alignment horizontal="center"/>
    </xf>
    <xf numFmtId="170" fontId="62" fillId="51" borderId="8" xfId="0" applyNumberFormat="1" applyFont="1" applyFill="1" applyBorder="1" applyAlignment="1">
      <alignment horizontal="center"/>
    </xf>
    <xf numFmtId="164" fontId="62" fillId="51" borderId="8" xfId="0" applyNumberFormat="1" applyFont="1" applyFill="1" applyBorder="1" applyAlignment="1">
      <alignment horizontal="center"/>
    </xf>
    <xf numFmtId="49" fontId="63" fillId="51" borderId="8" xfId="0" applyNumberFormat="1" applyFont="1" applyFill="1" applyBorder="1" applyAlignment="1">
      <alignment horizontal="center"/>
    </xf>
    <xf numFmtId="170" fontId="63" fillId="51" borderId="8" xfId="0" applyNumberFormat="1" applyFont="1" applyFill="1" applyBorder="1" applyAlignment="1">
      <alignment horizontal="center"/>
    </xf>
    <xf numFmtId="0" fontId="35" fillId="61" borderId="8" xfId="0" applyFont="1" applyFill="1" applyBorder="1" applyAlignment="1">
      <alignment horizontal="left"/>
    </xf>
    <xf numFmtId="0" fontId="35" fillId="54" borderId="8" xfId="0" applyFont="1" applyFill="1" applyBorder="1" applyAlignment="1">
      <alignment horizontal="center" vertical="center"/>
    </xf>
    <xf numFmtId="165" fontId="66" fillId="70" borderId="8" xfId="0" applyNumberFormat="1" applyFont="1" applyFill="1" applyBorder="1" applyAlignment="1">
      <alignment horizontal="center"/>
    </xf>
    <xf numFmtId="0" fontId="35" fillId="10" borderId="8" xfId="0" applyFont="1" applyFill="1" applyBorder="1" applyAlignment="1">
      <alignment horizontal="center" vertical="center" wrapText="1"/>
    </xf>
    <xf numFmtId="0" fontId="68" fillId="71" borderId="8" xfId="0" applyFont="1" applyFill="1" applyBorder="1" applyAlignment="1">
      <alignment horizontal="center" vertical="center"/>
    </xf>
    <xf numFmtId="164" fontId="69" fillId="71" borderId="8" xfId="0" applyNumberFormat="1" applyFont="1" applyFill="1" applyBorder="1" applyAlignment="1">
      <alignment horizontal="center"/>
    </xf>
    <xf numFmtId="164" fontId="49" fillId="71" borderId="8" xfId="0" applyNumberFormat="1" applyFont="1" applyFill="1" applyBorder="1" applyAlignment="1">
      <alignment horizontal="center"/>
    </xf>
    <xf numFmtId="164" fontId="64" fillId="71" borderId="8" xfId="0" applyNumberFormat="1" applyFont="1" applyFill="1" applyBorder="1" applyAlignment="1">
      <alignment horizontal="center"/>
    </xf>
    <xf numFmtId="164" fontId="70" fillId="71" borderId="8" xfId="0" applyNumberFormat="1" applyFont="1" applyFill="1" applyBorder="1" applyAlignment="1">
      <alignment horizontal="center"/>
    </xf>
    <xf numFmtId="0" fontId="68" fillId="25" borderId="8" xfId="0" applyFont="1" applyFill="1" applyBorder="1" applyAlignment="1">
      <alignment horizontal="center" vertical="center"/>
    </xf>
    <xf numFmtId="164" fontId="69" fillId="25" borderId="8" xfId="0" applyNumberFormat="1" applyFont="1" applyFill="1" applyBorder="1" applyAlignment="1">
      <alignment horizontal="center"/>
    </xf>
    <xf numFmtId="164" fontId="49" fillId="25" borderId="8" xfId="0" applyNumberFormat="1" applyFont="1" applyFill="1" applyBorder="1" applyAlignment="1">
      <alignment horizontal="center"/>
    </xf>
    <xf numFmtId="164" fontId="64" fillId="25" borderId="8" xfId="0" applyNumberFormat="1" applyFont="1" applyFill="1" applyBorder="1" applyAlignment="1">
      <alignment horizontal="center"/>
    </xf>
    <xf numFmtId="164" fontId="70" fillId="25" borderId="8" xfId="0" applyNumberFormat="1" applyFont="1" applyFill="1" applyBorder="1" applyAlignment="1">
      <alignment horizontal="center"/>
    </xf>
    <xf numFmtId="0" fontId="68" fillId="55" borderId="8" xfId="0" applyFont="1" applyFill="1" applyBorder="1" applyAlignment="1">
      <alignment horizontal="center" vertical="center"/>
    </xf>
    <xf numFmtId="164" fontId="69" fillId="55" borderId="8" xfId="0" applyNumberFormat="1" applyFont="1" applyFill="1" applyBorder="1" applyAlignment="1">
      <alignment horizontal="center"/>
    </xf>
    <xf numFmtId="164" fontId="49" fillId="55" borderId="8" xfId="0" applyNumberFormat="1" applyFont="1" applyFill="1" applyBorder="1" applyAlignment="1">
      <alignment horizontal="center"/>
    </xf>
    <xf numFmtId="164" fontId="64" fillId="55" borderId="8" xfId="0" applyNumberFormat="1" applyFont="1" applyFill="1" applyBorder="1" applyAlignment="1">
      <alignment horizontal="center"/>
    </xf>
    <xf numFmtId="164" fontId="70" fillId="55" borderId="8" xfId="0" applyNumberFormat="1" applyFont="1" applyFill="1" applyBorder="1" applyAlignment="1">
      <alignment horizontal="center"/>
    </xf>
    <xf numFmtId="0" fontId="68" fillId="70" borderId="8" xfId="0" applyFont="1" applyFill="1" applyBorder="1" applyAlignment="1">
      <alignment horizontal="center" vertical="center"/>
    </xf>
    <xf numFmtId="164" fontId="69" fillId="70" borderId="8" xfId="0" applyNumberFormat="1" applyFont="1" applyFill="1" applyBorder="1" applyAlignment="1">
      <alignment horizontal="center"/>
    </xf>
    <xf numFmtId="164" fontId="49" fillId="70" borderId="8" xfId="0" applyNumberFormat="1" applyFont="1" applyFill="1" applyBorder="1" applyAlignment="1">
      <alignment horizontal="center"/>
    </xf>
    <xf numFmtId="164" fontId="64" fillId="70" borderId="8" xfId="0" applyNumberFormat="1" applyFont="1" applyFill="1" applyBorder="1" applyAlignment="1">
      <alignment horizontal="center"/>
    </xf>
    <xf numFmtId="164" fontId="70" fillId="70" borderId="8" xfId="0" applyNumberFormat="1" applyFont="1" applyFill="1" applyBorder="1" applyAlignment="1">
      <alignment horizontal="center"/>
    </xf>
    <xf numFmtId="0" fontId="35" fillId="56" borderId="8" xfId="0" applyFont="1" applyFill="1" applyBorder="1" applyAlignment="1">
      <alignment horizontal="center" vertical="center" wrapText="1"/>
    </xf>
    <xf numFmtId="3" fontId="69" fillId="71" borderId="8" xfId="0" applyNumberFormat="1" applyFont="1" applyFill="1" applyBorder="1" applyAlignment="1">
      <alignment horizontal="center"/>
    </xf>
    <xf numFmtId="3" fontId="49" fillId="71" borderId="8" xfId="0" applyNumberFormat="1" applyFont="1" applyFill="1" applyBorder="1" applyAlignment="1">
      <alignment horizontal="center"/>
    </xf>
    <xf numFmtId="3" fontId="64" fillId="71" borderId="8" xfId="0" applyNumberFormat="1" applyFont="1" applyFill="1" applyBorder="1" applyAlignment="1">
      <alignment horizontal="center"/>
    </xf>
    <xf numFmtId="3" fontId="69" fillId="25" borderId="8" xfId="0" applyNumberFormat="1" applyFont="1" applyFill="1" applyBorder="1" applyAlignment="1">
      <alignment horizontal="center"/>
    </xf>
    <xf numFmtId="3" fontId="49" fillId="25" borderId="8" xfId="0" applyNumberFormat="1" applyFont="1" applyFill="1" applyBorder="1" applyAlignment="1">
      <alignment horizontal="center"/>
    </xf>
    <xf numFmtId="3" fontId="64" fillId="25" borderId="8" xfId="0" applyNumberFormat="1" applyFont="1" applyFill="1" applyBorder="1" applyAlignment="1">
      <alignment horizontal="center"/>
    </xf>
    <xf numFmtId="3" fontId="69" fillId="55" borderId="8" xfId="0" applyNumberFormat="1" applyFont="1" applyFill="1" applyBorder="1" applyAlignment="1">
      <alignment horizontal="center"/>
    </xf>
    <xf numFmtId="3" fontId="49" fillId="55" borderId="8" xfId="0" applyNumberFormat="1" applyFont="1" applyFill="1" applyBorder="1" applyAlignment="1">
      <alignment horizontal="center"/>
    </xf>
    <xf numFmtId="3" fontId="64" fillId="55" borderId="8" xfId="0" applyNumberFormat="1" applyFont="1" applyFill="1" applyBorder="1" applyAlignment="1">
      <alignment horizontal="center"/>
    </xf>
    <xf numFmtId="3" fontId="69" fillId="70" borderId="8" xfId="0" applyNumberFormat="1" applyFont="1" applyFill="1" applyBorder="1" applyAlignment="1">
      <alignment horizontal="center"/>
    </xf>
    <xf numFmtId="3" fontId="49" fillId="70" borderId="8" xfId="0" applyNumberFormat="1" applyFont="1" applyFill="1" applyBorder="1" applyAlignment="1">
      <alignment horizontal="center"/>
    </xf>
    <xf numFmtId="3" fontId="64" fillId="70" borderId="8" xfId="0" applyNumberFormat="1" applyFont="1" applyFill="1" applyBorder="1" applyAlignment="1">
      <alignment horizontal="center"/>
    </xf>
    <xf numFmtId="165" fontId="55" fillId="49" borderId="8" xfId="0" applyNumberFormat="1" applyFont="1" applyFill="1" applyBorder="1" applyAlignment="1">
      <alignment horizontal="center"/>
    </xf>
    <xf numFmtId="165" fontId="56" fillId="49" borderId="8" xfId="0" applyNumberFormat="1" applyFont="1" applyFill="1" applyBorder="1" applyAlignment="1">
      <alignment horizontal="center"/>
    </xf>
    <xf numFmtId="165" fontId="73" fillId="49" borderId="8" xfId="0" applyNumberFormat="1" applyFont="1" applyFill="1" applyBorder="1" applyAlignment="1">
      <alignment horizontal="center"/>
    </xf>
    <xf numFmtId="171" fontId="70" fillId="49" borderId="8" xfId="0" applyNumberFormat="1" applyFont="1" applyFill="1" applyBorder="1" applyAlignment="1">
      <alignment horizontal="center"/>
    </xf>
    <xf numFmtId="165" fontId="55" fillId="51" borderId="8" xfId="0" applyNumberFormat="1" applyFont="1" applyFill="1" applyBorder="1" applyAlignment="1">
      <alignment horizontal="center"/>
    </xf>
    <xf numFmtId="165" fontId="56" fillId="51" borderId="8" xfId="0" applyNumberFormat="1" applyFont="1" applyFill="1" applyBorder="1" applyAlignment="1">
      <alignment horizontal="center"/>
    </xf>
    <xf numFmtId="165" fontId="73" fillId="51" borderId="8" xfId="0" applyNumberFormat="1" applyFont="1" applyFill="1" applyBorder="1" applyAlignment="1">
      <alignment horizontal="center"/>
    </xf>
    <xf numFmtId="171" fontId="70" fillId="51" borderId="8" xfId="0" applyNumberFormat="1" applyFont="1" applyFill="1" applyBorder="1" applyAlignment="1">
      <alignment horizontal="center"/>
    </xf>
    <xf numFmtId="0" fontId="42" fillId="64" borderId="8" xfId="0" applyFont="1" applyFill="1" applyBorder="1" applyAlignment="1">
      <alignment horizontal="left" vertical="center"/>
    </xf>
    <xf numFmtId="0" fontId="75" fillId="55" borderId="8" xfId="0" applyFont="1" applyFill="1" applyBorder="1" applyAlignment="1">
      <alignment horizontal="left" vertical="center"/>
    </xf>
    <xf numFmtId="0" fontId="66" fillId="70" borderId="8" xfId="0" applyFont="1" applyFill="1" applyBorder="1" applyAlignment="1">
      <alignment horizontal="left" vertical="center"/>
    </xf>
    <xf numFmtId="0" fontId="76" fillId="25" borderId="8" xfId="0" applyFont="1" applyFill="1" applyBorder="1" applyAlignment="1">
      <alignment horizontal="left" vertical="center"/>
    </xf>
    <xf numFmtId="0" fontId="35" fillId="54" borderId="8" xfId="0" applyFont="1" applyFill="1" applyBorder="1" applyAlignment="1">
      <alignment horizontal="center" vertical="center" wrapText="1"/>
    </xf>
    <xf numFmtId="3" fontId="77" fillId="71" borderId="8" xfId="0" applyNumberFormat="1" applyFont="1" applyFill="1" applyBorder="1" applyAlignment="1">
      <alignment horizontal="center"/>
    </xf>
    <xf numFmtId="10" fontId="56" fillId="71" borderId="8" xfId="0" applyNumberFormat="1" applyFont="1" applyFill="1" applyBorder="1" applyAlignment="1">
      <alignment horizontal="center"/>
    </xf>
    <xf numFmtId="2" fontId="78" fillId="71" borderId="8" xfId="0" applyNumberFormat="1" applyFont="1" applyFill="1" applyBorder="1" applyAlignment="1">
      <alignment horizontal="center"/>
    </xf>
    <xf numFmtId="3" fontId="79" fillId="71" borderId="8" xfId="0" applyNumberFormat="1" applyFont="1" applyFill="1" applyBorder="1" applyAlignment="1">
      <alignment horizontal="center"/>
    </xf>
    <xf numFmtId="3" fontId="80" fillId="71" borderId="8" xfId="0" applyNumberFormat="1" applyFont="1" applyFill="1" applyBorder="1" applyAlignment="1">
      <alignment horizontal="center"/>
    </xf>
    <xf numFmtId="3" fontId="77" fillId="25" borderId="8" xfId="0" applyNumberFormat="1" applyFont="1" applyFill="1" applyBorder="1" applyAlignment="1">
      <alignment horizontal="center"/>
    </xf>
    <xf numFmtId="10" fontId="56" fillId="25" borderId="8" xfId="0" applyNumberFormat="1" applyFont="1" applyFill="1" applyBorder="1" applyAlignment="1">
      <alignment horizontal="center"/>
    </xf>
    <xf numFmtId="2" fontId="78" fillId="25" borderId="8" xfId="0" applyNumberFormat="1" applyFont="1" applyFill="1" applyBorder="1" applyAlignment="1">
      <alignment horizontal="center"/>
    </xf>
    <xf numFmtId="3" fontId="79" fillId="25" borderId="8" xfId="0" applyNumberFormat="1" applyFont="1" applyFill="1" applyBorder="1" applyAlignment="1">
      <alignment horizontal="center"/>
    </xf>
    <xf numFmtId="3" fontId="80" fillId="25" borderId="8" xfId="0" applyNumberFormat="1" applyFont="1" applyFill="1" applyBorder="1" applyAlignment="1">
      <alignment horizontal="center"/>
    </xf>
    <xf numFmtId="3" fontId="77" fillId="55" borderId="8" xfId="0" applyNumberFormat="1" applyFont="1" applyFill="1" applyBorder="1" applyAlignment="1">
      <alignment horizontal="center"/>
    </xf>
    <xf numFmtId="10" fontId="56" fillId="55" borderId="8" xfId="0" applyNumberFormat="1" applyFont="1" applyFill="1" applyBorder="1" applyAlignment="1">
      <alignment horizontal="center"/>
    </xf>
    <xf numFmtId="2" fontId="78" fillId="55" borderId="8" xfId="0" applyNumberFormat="1" applyFont="1" applyFill="1" applyBorder="1" applyAlignment="1">
      <alignment horizontal="center"/>
    </xf>
    <xf numFmtId="3" fontId="79" fillId="55" borderId="8" xfId="0" applyNumberFormat="1" applyFont="1" applyFill="1" applyBorder="1" applyAlignment="1">
      <alignment horizontal="center"/>
    </xf>
    <xf numFmtId="3" fontId="80" fillId="55" borderId="8" xfId="0" applyNumberFormat="1" applyFont="1" applyFill="1" applyBorder="1" applyAlignment="1">
      <alignment horizontal="center"/>
    </xf>
    <xf numFmtId="3" fontId="77" fillId="70" borderId="8" xfId="0" applyNumberFormat="1" applyFont="1" applyFill="1" applyBorder="1" applyAlignment="1">
      <alignment horizontal="center"/>
    </xf>
    <xf numFmtId="10" fontId="56" fillId="70" borderId="8" xfId="0" applyNumberFormat="1" applyFont="1" applyFill="1" applyBorder="1" applyAlignment="1">
      <alignment horizontal="center"/>
    </xf>
    <xf numFmtId="2" fontId="78" fillId="70" borderId="8" xfId="0" applyNumberFormat="1" applyFont="1" applyFill="1" applyBorder="1" applyAlignment="1">
      <alignment horizontal="center"/>
    </xf>
    <xf numFmtId="3" fontId="79" fillId="70" borderId="8" xfId="0" applyNumberFormat="1" applyFont="1" applyFill="1" applyBorder="1" applyAlignment="1">
      <alignment horizontal="center"/>
    </xf>
    <xf numFmtId="3" fontId="80" fillId="70" borderId="8" xfId="0" applyNumberFormat="1" applyFont="1" applyFill="1" applyBorder="1" applyAlignment="1">
      <alignment horizontal="center"/>
    </xf>
    <xf numFmtId="0" fontId="35" fillId="10" borderId="8" xfId="0" applyFont="1" applyFill="1" applyBorder="1" applyAlignment="1">
      <alignment horizontal="center" vertical="center"/>
    </xf>
    <xf numFmtId="0" fontId="36" fillId="71" borderId="8" xfId="0" applyFont="1" applyFill="1" applyBorder="1" applyAlignment="1">
      <alignment horizontal="left" vertical="center"/>
    </xf>
    <xf numFmtId="0" fontId="83" fillId="71" borderId="8" xfId="0" applyFont="1" applyFill="1" applyBorder="1" applyAlignment="1">
      <alignment horizontal="left" vertical="center" wrapText="1"/>
    </xf>
    <xf numFmtId="0" fontId="36" fillId="71" borderId="8" xfId="0" applyFont="1" applyFill="1" applyBorder="1" applyAlignment="1">
      <alignment horizontal="center" vertical="center"/>
    </xf>
    <xf numFmtId="0" fontId="36" fillId="25" borderId="8" xfId="0" applyFont="1" applyFill="1" applyBorder="1" applyAlignment="1">
      <alignment horizontal="left" vertical="center"/>
    </xf>
    <xf numFmtId="0" fontId="83" fillId="25" borderId="8" xfId="0" applyFont="1" applyFill="1" applyBorder="1" applyAlignment="1">
      <alignment horizontal="left" vertical="center" wrapText="1"/>
    </xf>
    <xf numFmtId="0" fontId="36" fillId="25" borderId="8" xfId="0" applyFont="1" applyFill="1" applyBorder="1" applyAlignment="1">
      <alignment horizontal="center" vertical="center"/>
    </xf>
    <xf numFmtId="0" fontId="36" fillId="55" borderId="8" xfId="0" applyFont="1" applyFill="1" applyBorder="1" applyAlignment="1">
      <alignment horizontal="left" vertical="center"/>
    </xf>
    <xf numFmtId="0" fontId="83" fillId="55" borderId="8" xfId="0" applyFont="1" applyFill="1" applyBorder="1" applyAlignment="1">
      <alignment horizontal="left" vertical="center" wrapText="1"/>
    </xf>
    <xf numFmtId="0" fontId="36" fillId="55" borderId="8" xfId="0" applyFont="1" applyFill="1" applyBorder="1" applyAlignment="1">
      <alignment horizontal="center" vertical="center"/>
    </xf>
    <xf numFmtId="0" fontId="36" fillId="70" borderId="8" xfId="0" applyFont="1" applyFill="1" applyBorder="1" applyAlignment="1">
      <alignment horizontal="left" vertical="center"/>
    </xf>
    <xf numFmtId="0" fontId="83" fillId="70" borderId="8" xfId="0" applyFont="1" applyFill="1" applyBorder="1" applyAlignment="1">
      <alignment horizontal="left" vertical="center" wrapText="1"/>
    </xf>
    <xf numFmtId="0" fontId="36" fillId="70" borderId="8" xfId="0" applyFont="1" applyFill="1" applyBorder="1" applyAlignment="1">
      <alignment horizontal="center" vertical="center"/>
    </xf>
    <xf numFmtId="0" fontId="36" fillId="64" borderId="8" xfId="0" applyFont="1" applyFill="1" applyBorder="1" applyAlignment="1">
      <alignment horizontal="left" vertical="center"/>
    </xf>
    <xf numFmtId="0" fontId="36" fillId="72" borderId="8" xfId="0" applyFont="1" applyFill="1" applyBorder="1" applyAlignment="1">
      <alignment horizontal="left" vertical="center"/>
    </xf>
    <xf numFmtId="0" fontId="62" fillId="71" borderId="8" xfId="0" applyFont="1" applyFill="1" applyBorder="1" applyAlignment="1">
      <alignment horizontal="left" vertical="center" wrapText="1"/>
    </xf>
    <xf numFmtId="0" fontId="62" fillId="71" borderId="8" xfId="0" applyFont="1" applyFill="1" applyBorder="1" applyAlignment="1">
      <alignment horizontal="center" vertical="center" wrapText="1"/>
    </xf>
    <xf numFmtId="0" fontId="62" fillId="25" borderId="8" xfId="0" applyFont="1" applyFill="1" applyBorder="1" applyAlignment="1">
      <alignment horizontal="left" vertical="center" wrapText="1"/>
    </xf>
    <xf numFmtId="0" fontId="62" fillId="25" borderId="8" xfId="0" applyFont="1" applyFill="1" applyBorder="1" applyAlignment="1">
      <alignment horizontal="center" vertical="center" wrapText="1"/>
    </xf>
    <xf numFmtId="164" fontId="44" fillId="25" borderId="8" xfId="0" applyNumberFormat="1" applyFont="1" applyFill="1" applyBorder="1" applyAlignment="1">
      <alignment horizontal="center"/>
    </xf>
    <xf numFmtId="164" fontId="44" fillId="71" borderId="8" xfId="0" applyNumberFormat="1" applyFont="1" applyFill="1" applyBorder="1" applyAlignment="1">
      <alignment horizontal="center"/>
    </xf>
    <xf numFmtId="0" fontId="36" fillId="64" borderId="8" xfId="0" applyFont="1" applyFill="1" applyBorder="1" applyAlignment="1">
      <alignment horizontal="left" vertical="center" wrapText="1"/>
    </xf>
    <xf numFmtId="0" fontId="36" fillId="64" borderId="8" xfId="0" applyFont="1" applyFill="1" applyBorder="1" applyAlignment="1">
      <alignment horizontal="center" vertical="center" wrapText="1"/>
    </xf>
    <xf numFmtId="164" fontId="47" fillId="64" borderId="8" xfId="0" applyNumberFormat="1" applyFont="1" applyFill="1" applyBorder="1" applyAlignment="1">
      <alignment horizontal="center"/>
    </xf>
    <xf numFmtId="0" fontId="62" fillId="55" borderId="8" xfId="0" applyFont="1" applyFill="1" applyBorder="1" applyAlignment="1">
      <alignment horizontal="left" vertical="center" wrapText="1"/>
    </xf>
    <xf numFmtId="0" fontId="62" fillId="55" borderId="8" xfId="0" applyFont="1" applyFill="1" applyBorder="1" applyAlignment="1">
      <alignment horizontal="center" vertical="center" wrapText="1"/>
    </xf>
    <xf numFmtId="164" fontId="44" fillId="55" borderId="8" xfId="0" applyNumberFormat="1" applyFont="1" applyFill="1" applyBorder="1" applyAlignment="1">
      <alignment horizontal="center"/>
    </xf>
    <xf numFmtId="0" fontId="62" fillId="72" borderId="8" xfId="0" applyFont="1" applyFill="1" applyBorder="1" applyAlignment="1">
      <alignment horizontal="left" vertical="center" wrapText="1"/>
    </xf>
    <xf numFmtId="0" fontId="62" fillId="72" borderId="8" xfId="0" applyFont="1" applyFill="1" applyBorder="1" applyAlignment="1">
      <alignment horizontal="center" vertical="center" wrapText="1"/>
    </xf>
    <xf numFmtId="164" fontId="44" fillId="72" borderId="8" xfId="0" applyNumberFormat="1" applyFont="1" applyFill="1" applyBorder="1" applyAlignment="1">
      <alignment horizontal="center"/>
    </xf>
    <xf numFmtId="0" fontId="35" fillId="23" borderId="8" xfId="0" applyFont="1" applyFill="1" applyBorder="1" applyAlignment="1">
      <alignment horizontal="center" vertical="center" wrapText="1"/>
    </xf>
    <xf numFmtId="0" fontId="35" fillId="48" borderId="8" xfId="0" applyFont="1" applyFill="1" applyBorder="1" applyAlignment="1">
      <alignment horizontal="center" vertical="center" wrapText="1"/>
    </xf>
    <xf numFmtId="0" fontId="85" fillId="49" borderId="8" xfId="0" applyFont="1" applyFill="1" applyBorder="1" applyAlignment="1">
      <alignment horizontal="center" vertical="center"/>
    </xf>
    <xf numFmtId="165" fontId="45" fillId="49" borderId="8" xfId="0" applyNumberFormat="1" applyFont="1" applyFill="1" applyBorder="1" applyAlignment="1">
      <alignment horizontal="center"/>
    </xf>
    <xf numFmtId="172" fontId="45" fillId="49" borderId="8" xfId="0" applyNumberFormat="1" applyFont="1" applyFill="1" applyBorder="1" applyAlignment="1">
      <alignment horizontal="center"/>
    </xf>
    <xf numFmtId="165" fontId="86" fillId="58" borderId="8" xfId="0" applyNumberFormat="1" applyFont="1" applyFill="1" applyBorder="1" applyAlignment="1">
      <alignment horizontal="center"/>
    </xf>
    <xf numFmtId="164" fontId="45" fillId="49" borderId="8" xfId="0" applyNumberFormat="1" applyFont="1" applyFill="1" applyBorder="1" applyAlignment="1">
      <alignment horizontal="center"/>
    </xf>
    <xf numFmtId="0" fontId="85" fillId="51" borderId="8" xfId="0" applyFont="1" applyFill="1" applyBorder="1" applyAlignment="1">
      <alignment horizontal="center" vertical="center"/>
    </xf>
    <xf numFmtId="165" fontId="45" fillId="51" borderId="8" xfId="0" applyNumberFormat="1" applyFont="1" applyFill="1" applyBorder="1" applyAlignment="1">
      <alignment horizontal="center"/>
    </xf>
    <xf numFmtId="172" fontId="45" fillId="51" borderId="8" xfId="0" applyNumberFormat="1" applyFont="1" applyFill="1" applyBorder="1" applyAlignment="1">
      <alignment horizontal="center"/>
    </xf>
    <xf numFmtId="164" fontId="45" fillId="51" borderId="8" xfId="0" applyNumberFormat="1" applyFont="1" applyFill="1" applyBorder="1" applyAlignment="1">
      <alignment horizontal="center"/>
    </xf>
    <xf numFmtId="0" fontId="35" fillId="61" borderId="8" xfId="0" applyFont="1" applyFill="1" applyBorder="1" applyAlignment="1">
      <alignment horizontal="center" vertical="center"/>
    </xf>
    <xf numFmtId="0" fontId="0" fillId="61" borderId="8" xfId="0" applyFill="1" applyBorder="1"/>
    <xf numFmtId="0" fontId="86" fillId="58" borderId="8" xfId="0" applyFont="1" applyFill="1" applyBorder="1" applyAlignment="1">
      <alignment horizontal="left" vertical="center"/>
    </xf>
    <xf numFmtId="164" fontId="77" fillId="58" borderId="8" xfId="0" applyNumberFormat="1" applyFont="1" applyFill="1" applyBorder="1" applyAlignment="1">
      <alignment horizontal="center"/>
    </xf>
    <xf numFmtId="0" fontId="87" fillId="51" borderId="8" xfId="0" applyFont="1" applyFill="1" applyBorder="1" applyAlignment="1">
      <alignment horizontal="center"/>
    </xf>
    <xf numFmtId="0" fontId="87" fillId="49" borderId="8" xfId="0" applyFont="1" applyFill="1" applyBorder="1" applyAlignment="1">
      <alignment horizontal="center"/>
    </xf>
    <xf numFmtId="0" fontId="88" fillId="51" borderId="8" xfId="0" applyFont="1" applyFill="1" applyBorder="1" applyAlignment="1">
      <alignment horizontal="center"/>
    </xf>
    <xf numFmtId="0" fontId="88" fillId="49" borderId="8" xfId="0" applyFont="1" applyFill="1" applyBorder="1" applyAlignment="1">
      <alignment horizontal="center"/>
    </xf>
    <xf numFmtId="0" fontId="62" fillId="71" borderId="8" xfId="0" applyFont="1" applyFill="1" applyBorder="1" applyAlignment="1">
      <alignment horizontal="left" vertical="center"/>
    </xf>
    <xf numFmtId="49" fontId="81" fillId="71" borderId="8" xfId="0" applyNumberFormat="1" applyFont="1" applyFill="1" applyBorder="1" applyAlignment="1">
      <alignment horizontal="center"/>
    </xf>
    <xf numFmtId="0" fontId="62" fillId="25" borderId="8" xfId="0" applyFont="1" applyFill="1" applyBorder="1" applyAlignment="1">
      <alignment horizontal="left" vertical="center"/>
    </xf>
    <xf numFmtId="164" fontId="81" fillId="25" borderId="8" xfId="0" applyNumberFormat="1" applyFont="1" applyFill="1" applyBorder="1" applyAlignment="1">
      <alignment horizontal="center"/>
    </xf>
    <xf numFmtId="164" fontId="81" fillId="71" borderId="8" xfId="0" applyNumberFormat="1" applyFont="1" applyFill="1" applyBorder="1" applyAlignment="1">
      <alignment horizontal="center"/>
    </xf>
    <xf numFmtId="0" fontId="62" fillId="64" borderId="8" xfId="0" applyFont="1" applyFill="1" applyBorder="1" applyAlignment="1">
      <alignment horizontal="left" vertical="center"/>
    </xf>
    <xf numFmtId="164" fontId="81" fillId="64" borderId="8" xfId="0" applyNumberFormat="1" applyFont="1" applyFill="1" applyBorder="1" applyAlignment="1">
      <alignment horizontal="center"/>
    </xf>
    <xf numFmtId="0" fontId="62" fillId="55" borderId="8" xfId="0" applyFont="1" applyFill="1" applyBorder="1" applyAlignment="1">
      <alignment horizontal="left" vertical="center"/>
    </xf>
    <xf numFmtId="164" fontId="81" fillId="55" borderId="8" xfId="0" applyNumberFormat="1" applyFont="1" applyFill="1" applyBorder="1" applyAlignment="1">
      <alignment horizontal="center"/>
    </xf>
    <xf numFmtId="0" fontId="62" fillId="72" borderId="8" xfId="0" applyFont="1" applyFill="1" applyBorder="1" applyAlignment="1">
      <alignment horizontal="left" vertical="center"/>
    </xf>
    <xf numFmtId="164" fontId="81" fillId="72" borderId="8" xfId="0" applyNumberFormat="1" applyFont="1" applyFill="1" applyBorder="1" applyAlignment="1">
      <alignment horizontal="center"/>
    </xf>
    <xf numFmtId="0" fontId="62" fillId="70" borderId="8" xfId="0" applyFont="1" applyFill="1" applyBorder="1" applyAlignment="1">
      <alignment horizontal="left" vertical="center"/>
    </xf>
    <xf numFmtId="164" fontId="81" fillId="70" borderId="8" xfId="0" applyNumberFormat="1" applyFont="1" applyFill="1" applyBorder="1" applyAlignment="1">
      <alignment horizontal="center"/>
    </xf>
    <xf numFmtId="0" fontId="75" fillId="72" borderId="8" xfId="0" applyFont="1" applyFill="1" applyBorder="1" applyAlignment="1">
      <alignment horizontal="left" vertical="center"/>
    </xf>
    <xf numFmtId="0" fontId="49" fillId="65" borderId="8" xfId="0" applyFont="1" applyFill="1" applyBorder="1" applyAlignment="1">
      <alignment horizontal="left" vertical="center"/>
    </xf>
    <xf numFmtId="0" fontId="35" fillId="23" borderId="8" xfId="0" applyFont="1" applyFill="1" applyBorder="1" applyAlignment="1">
      <alignment horizontal="center" vertical="top"/>
    </xf>
    <xf numFmtId="0" fontId="36" fillId="64" borderId="8" xfId="0" applyFont="1" applyFill="1" applyBorder="1" applyAlignment="1">
      <alignment horizontal="center" vertical="top" wrapText="1"/>
    </xf>
    <xf numFmtId="0" fontId="36" fillId="72" borderId="8" xfId="0" applyFont="1" applyFill="1" applyBorder="1" applyAlignment="1">
      <alignment horizontal="center" vertical="top" wrapText="1"/>
    </xf>
    <xf numFmtId="0" fontId="35" fillId="10" borderId="8" xfId="0" applyFont="1" applyFill="1" applyBorder="1" applyAlignment="1">
      <alignment horizontal="center" vertical="top" wrapText="1"/>
    </xf>
    <xf numFmtId="0" fontId="36" fillId="71" borderId="8" xfId="0" applyFont="1" applyFill="1" applyBorder="1" applyAlignment="1">
      <alignment horizontal="center" vertical="top"/>
    </xf>
    <xf numFmtId="0" fontId="62" fillId="71" borderId="8" xfId="0" applyFont="1" applyFill="1" applyBorder="1" applyAlignment="1">
      <alignment horizontal="center" vertical="top" wrapText="1"/>
    </xf>
    <xf numFmtId="164" fontId="55" fillId="71" borderId="8" xfId="0" applyNumberFormat="1" applyFont="1" applyFill="1" applyBorder="1" applyAlignment="1">
      <alignment horizontal="center" vertical="top"/>
    </xf>
    <xf numFmtId="3" fontId="69" fillId="71" borderId="8" xfId="0" applyNumberFormat="1" applyFont="1" applyFill="1" applyBorder="1" applyAlignment="1">
      <alignment horizontal="center" vertical="top"/>
    </xf>
    <xf numFmtId="3" fontId="49" fillId="71" borderId="8" xfId="0" applyNumberFormat="1" applyFont="1" applyFill="1" applyBorder="1" applyAlignment="1">
      <alignment horizontal="center" vertical="top"/>
    </xf>
    <xf numFmtId="164" fontId="63" fillId="71" borderId="8" xfId="0" applyNumberFormat="1" applyFont="1" applyFill="1" applyBorder="1" applyAlignment="1">
      <alignment horizontal="center" vertical="top"/>
    </xf>
    <xf numFmtId="0" fontId="90" fillId="64" borderId="8" xfId="0" applyFont="1" applyFill="1" applyBorder="1" applyAlignment="1">
      <alignment horizontal="center" vertical="top" wrapText="1"/>
    </xf>
    <xf numFmtId="0" fontId="36" fillId="25" borderId="8" xfId="0" applyFont="1" applyFill="1" applyBorder="1" applyAlignment="1">
      <alignment horizontal="center" vertical="top"/>
    </xf>
    <xf numFmtId="0" fontId="62" fillId="25" borderId="8" xfId="0" applyFont="1" applyFill="1" applyBorder="1" applyAlignment="1">
      <alignment horizontal="center" vertical="top" wrapText="1"/>
    </xf>
    <xf numFmtId="164" fontId="55" fillId="25" borderId="8" xfId="0" applyNumberFormat="1" applyFont="1" applyFill="1" applyBorder="1" applyAlignment="1">
      <alignment horizontal="center" vertical="top"/>
    </xf>
    <xf numFmtId="3" fontId="69" fillId="25" borderId="8" xfId="0" applyNumberFormat="1" applyFont="1" applyFill="1" applyBorder="1" applyAlignment="1">
      <alignment horizontal="center" vertical="top"/>
    </xf>
    <xf numFmtId="3" fontId="49" fillId="25" borderId="8" xfId="0" applyNumberFormat="1" applyFont="1" applyFill="1" applyBorder="1" applyAlignment="1">
      <alignment horizontal="center" vertical="top"/>
    </xf>
    <xf numFmtId="164" fontId="63" fillId="25" borderId="8" xfId="0" applyNumberFormat="1" applyFont="1" applyFill="1" applyBorder="1" applyAlignment="1">
      <alignment horizontal="center" vertical="top"/>
    </xf>
    <xf numFmtId="0" fontId="36" fillId="55" borderId="8" xfId="0" applyFont="1" applyFill="1" applyBorder="1" applyAlignment="1">
      <alignment horizontal="center" vertical="top"/>
    </xf>
    <xf numFmtId="0" fontId="62" fillId="55" borderId="8" xfId="0" applyFont="1" applyFill="1" applyBorder="1" applyAlignment="1">
      <alignment horizontal="center" vertical="top" wrapText="1"/>
    </xf>
    <xf numFmtId="164" fontId="55" fillId="55" borderId="8" xfId="0" applyNumberFormat="1" applyFont="1" applyFill="1" applyBorder="1" applyAlignment="1">
      <alignment horizontal="center" vertical="top"/>
    </xf>
    <xf numFmtId="3" fontId="69" fillId="55" borderId="8" xfId="0" applyNumberFormat="1" applyFont="1" applyFill="1" applyBorder="1" applyAlignment="1">
      <alignment horizontal="center" vertical="top"/>
    </xf>
    <xf numFmtId="3" fontId="49" fillId="55" borderId="8" xfId="0" applyNumberFormat="1" applyFont="1" applyFill="1" applyBorder="1" applyAlignment="1">
      <alignment horizontal="center" vertical="top"/>
    </xf>
    <xf numFmtId="164" fontId="63" fillId="55" borderId="8" xfId="0" applyNumberFormat="1" applyFont="1" applyFill="1" applyBorder="1" applyAlignment="1">
      <alignment horizontal="center" vertical="top"/>
    </xf>
    <xf numFmtId="0" fontId="91" fillId="58" borderId="8" xfId="0" applyFont="1" applyFill="1" applyBorder="1" applyAlignment="1">
      <alignment horizontal="center" vertical="top" wrapText="1"/>
    </xf>
    <xf numFmtId="0" fontId="36" fillId="70" borderId="8" xfId="0" applyFont="1" applyFill="1" applyBorder="1" applyAlignment="1">
      <alignment horizontal="center" vertical="top"/>
    </xf>
    <xf numFmtId="0" fontId="62" fillId="70" borderId="8" xfId="0" applyFont="1" applyFill="1" applyBorder="1" applyAlignment="1">
      <alignment horizontal="center" vertical="top" wrapText="1"/>
    </xf>
    <xf numFmtId="164" fontId="55" fillId="70" borderId="8" xfId="0" applyNumberFormat="1" applyFont="1" applyFill="1" applyBorder="1" applyAlignment="1">
      <alignment horizontal="center" vertical="top"/>
    </xf>
    <xf numFmtId="3" fontId="69" fillId="70" borderId="8" xfId="0" applyNumberFormat="1" applyFont="1" applyFill="1" applyBorder="1" applyAlignment="1">
      <alignment horizontal="center" vertical="top"/>
    </xf>
    <xf numFmtId="3" fontId="49" fillId="70" borderId="8" xfId="0" applyNumberFormat="1" applyFont="1" applyFill="1" applyBorder="1" applyAlignment="1">
      <alignment horizontal="center" vertical="top"/>
    </xf>
    <xf numFmtId="164" fontId="63" fillId="70" borderId="8" xfId="0" applyNumberFormat="1" applyFont="1" applyFill="1" applyBorder="1" applyAlignment="1">
      <alignment horizontal="center" vertical="top"/>
    </xf>
    <xf numFmtId="0" fontId="92" fillId="72" borderId="8" xfId="0" applyFont="1" applyFill="1" applyBorder="1" applyAlignment="1">
      <alignment horizontal="center" vertical="top" wrapText="1"/>
    </xf>
    <xf numFmtId="0" fontId="36" fillId="49" borderId="8" xfId="0" applyFont="1" applyFill="1" applyBorder="1" applyAlignment="1">
      <alignment horizontal="center" vertical="top"/>
    </xf>
    <xf numFmtId="165" fontId="55" fillId="49" borderId="8" xfId="0" applyNumberFormat="1" applyFont="1" applyFill="1" applyBorder="1" applyAlignment="1">
      <alignment horizontal="center" vertical="top"/>
    </xf>
    <xf numFmtId="165" fontId="56" fillId="49" borderId="8" xfId="0" applyNumberFormat="1" applyFont="1" applyFill="1" applyBorder="1" applyAlignment="1">
      <alignment horizontal="center" vertical="top"/>
    </xf>
    <xf numFmtId="164" fontId="70" fillId="49" borderId="8" xfId="0" applyNumberFormat="1" applyFont="1" applyFill="1" applyBorder="1" applyAlignment="1">
      <alignment horizontal="center" vertical="top"/>
    </xf>
    <xf numFmtId="0" fontId="36" fillId="51" borderId="8" xfId="0" applyFont="1" applyFill="1" applyBorder="1" applyAlignment="1">
      <alignment horizontal="center" vertical="top"/>
    </xf>
    <xf numFmtId="165" fontId="55" fillId="51" borderId="8" xfId="0" applyNumberFormat="1" applyFont="1" applyFill="1" applyBorder="1" applyAlignment="1">
      <alignment horizontal="center" vertical="top"/>
    </xf>
    <xf numFmtId="165" fontId="56" fillId="51" borderId="8" xfId="0" applyNumberFormat="1" applyFont="1" applyFill="1" applyBorder="1" applyAlignment="1">
      <alignment horizontal="center" vertical="top"/>
    </xf>
    <xf numFmtId="164" fontId="70" fillId="51" borderId="8" xfId="0" applyNumberFormat="1" applyFont="1" applyFill="1" applyBorder="1" applyAlignment="1">
      <alignment horizontal="center" vertical="top"/>
    </xf>
    <xf numFmtId="0" fontId="44" fillId="0" borderId="0" xfId="0" applyFont="1"/>
    <xf numFmtId="0" fontId="44" fillId="74" borderId="0" xfId="0" applyFont="1" applyFill="1"/>
    <xf numFmtId="0" fontId="47" fillId="81" borderId="0" xfId="0" applyFont="1" applyFill="1"/>
    <xf numFmtId="0" fontId="95" fillId="0" borderId="0" xfId="0" applyFont="1"/>
    <xf numFmtId="10" fontId="44" fillId="0" borderId="0" xfId="0" applyNumberFormat="1" applyFont="1"/>
    <xf numFmtId="165" fontId="44" fillId="0" borderId="0" xfId="0" applyNumberFormat="1" applyFont="1"/>
    <xf numFmtId="0" fontId="47" fillId="0" borderId="0" xfId="0" applyFont="1"/>
    <xf numFmtId="165" fontId="0" fillId="0" borderId="0" xfId="0" applyNumberFormat="1"/>
    <xf numFmtId="10" fontId="0" fillId="0" borderId="0" xfId="0" applyNumberFormat="1"/>
    <xf numFmtId="10" fontId="47" fillId="0" borderId="0" xfId="0" applyNumberFormat="1" applyFont="1"/>
    <xf numFmtId="165" fontId="47" fillId="0" borderId="0" xfId="0" applyNumberFormat="1" applyFont="1"/>
    <xf numFmtId="0" fontId="44" fillId="0" borderId="0" xfId="0" applyFont="1" applyAlignment="1">
      <alignment vertical="center" wrapText="1"/>
    </xf>
    <xf numFmtId="3" fontId="44" fillId="0" borderId="0" xfId="0" applyNumberFormat="1" applyFont="1"/>
    <xf numFmtId="3" fontId="47" fillId="0" borderId="0" xfId="0" applyNumberFormat="1" applyFont="1"/>
    <xf numFmtId="0" fontId="44" fillId="0" borderId="0" xfId="0" applyFont="1" applyAlignment="1">
      <alignment vertical="top" wrapText="1"/>
    </xf>
    <xf numFmtId="0" fontId="96" fillId="0" borderId="0" xfId="0" applyFont="1" applyAlignment="1">
      <alignment vertical="top" wrapText="1"/>
    </xf>
    <xf numFmtId="2" fontId="44" fillId="0" borderId="0" xfId="0" applyNumberFormat="1" applyFont="1"/>
    <xf numFmtId="0" fontId="48" fillId="84" borderId="8" xfId="0" applyFont="1" applyFill="1" applyBorder="1" applyAlignment="1">
      <alignment horizontal="center" vertical="center"/>
    </xf>
    <xf numFmtId="0" fontId="48" fillId="85" borderId="8" xfId="0" applyFont="1" applyFill="1" applyBorder="1" applyAlignment="1">
      <alignment horizontal="center" vertical="center"/>
    </xf>
    <xf numFmtId="0" fontId="48" fillId="86" borderId="8" xfId="0" applyFont="1" applyFill="1" applyBorder="1" applyAlignment="1">
      <alignment horizontal="center" vertical="center"/>
    </xf>
    <xf numFmtId="0" fontId="9" fillId="9" borderId="4" xfId="0" applyFont="1" applyFill="1" applyBorder="1" applyAlignment="1">
      <alignment horizontal="left" vertical="center" wrapText="1"/>
    </xf>
    <xf numFmtId="0" fontId="0" fillId="0" borderId="11" xfId="0" applyBorder="1"/>
    <xf numFmtId="0" fontId="0" fillId="0" borderId="12" xfId="0" applyBorder="1"/>
    <xf numFmtId="0" fontId="8" fillId="8" borderId="2" xfId="0" applyFont="1" applyFill="1" applyBorder="1" applyAlignment="1">
      <alignment horizontal="left" vertical="top" wrapText="1"/>
    </xf>
    <xf numFmtId="0" fontId="0" fillId="0" borderId="3" xfId="0" applyBorder="1"/>
    <xf numFmtId="0" fontId="1" fillId="2" borderId="0" xfId="0" applyFont="1" applyFill="1" applyAlignment="1">
      <alignment horizontal="left" vertical="center"/>
    </xf>
    <xf numFmtId="0" fontId="0" fillId="0" borderId="0" xfId="0"/>
    <xf numFmtId="0" fontId="1" fillId="6" borderId="0" xfId="0" applyFont="1" applyFill="1" applyAlignment="1">
      <alignment horizontal="left" vertical="center"/>
    </xf>
    <xf numFmtId="0" fontId="9" fillId="10" borderId="4" xfId="0" applyFont="1" applyFill="1" applyBorder="1" applyAlignment="1">
      <alignment horizontal="left" vertical="center" wrapText="1"/>
    </xf>
    <xf numFmtId="0" fontId="20" fillId="25" borderId="4" xfId="0" applyFont="1" applyFill="1" applyBorder="1" applyAlignment="1">
      <alignment horizontal="left" vertical="center"/>
    </xf>
    <xf numFmtId="0" fontId="17" fillId="21" borderId="6" xfId="0" applyFont="1" applyFill="1" applyBorder="1" applyAlignment="1">
      <alignment horizontal="left" vertical="top" wrapText="1"/>
    </xf>
    <xf numFmtId="0" fontId="0" fillId="0" borderId="7" xfId="0" applyBorder="1"/>
    <xf numFmtId="0" fontId="17" fillId="13" borderId="6" xfId="0" applyFont="1" applyFill="1" applyBorder="1" applyAlignment="1">
      <alignment horizontal="left" vertical="top" wrapText="1"/>
    </xf>
    <xf numFmtId="0" fontId="10" fillId="19" borderId="0" xfId="0" applyFont="1" applyFill="1" applyAlignment="1">
      <alignment horizontal="left" vertical="center"/>
    </xf>
    <xf numFmtId="0" fontId="1" fillId="16" borderId="0" xfId="0" applyFont="1" applyFill="1" applyAlignment="1">
      <alignment horizontal="left" vertical="center"/>
    </xf>
    <xf numFmtId="0" fontId="7" fillId="17" borderId="6" xfId="0" applyFont="1" applyFill="1" applyBorder="1" applyAlignment="1">
      <alignment horizontal="left" vertical="center"/>
    </xf>
    <xf numFmtId="0" fontId="15" fillId="18" borderId="6" xfId="0" applyFont="1" applyFill="1" applyBorder="1" applyAlignment="1">
      <alignment horizontal="left" vertical="center"/>
    </xf>
    <xf numFmtId="0" fontId="7" fillId="14" borderId="6" xfId="0" applyFont="1" applyFill="1" applyBorder="1" applyAlignment="1">
      <alignment horizontal="left" vertical="center"/>
    </xf>
    <xf numFmtId="0" fontId="10" fillId="11" borderId="0" xfId="0" applyFont="1" applyFill="1" applyAlignment="1">
      <alignment horizontal="left" vertical="center"/>
    </xf>
    <xf numFmtId="0" fontId="17" fillId="13" borderId="9" xfId="0" applyFont="1" applyFill="1" applyBorder="1" applyAlignment="1">
      <alignment horizontal="left" vertical="top" wrapText="1"/>
    </xf>
    <xf numFmtId="0" fontId="0" fillId="0" borderId="10" xfId="0" applyBorder="1"/>
    <xf numFmtId="0" fontId="30" fillId="17" borderId="9" xfId="0" applyFont="1" applyFill="1" applyBorder="1" applyAlignment="1">
      <alignment horizontal="left" vertical="center"/>
    </xf>
    <xf numFmtId="0" fontId="17" fillId="21" borderId="9" xfId="0" applyFont="1" applyFill="1" applyBorder="1" applyAlignment="1">
      <alignment horizontal="left" vertical="top" wrapText="1"/>
    </xf>
    <xf numFmtId="0" fontId="31" fillId="7" borderId="9" xfId="0" applyFont="1" applyFill="1" applyBorder="1" applyAlignment="1">
      <alignment horizontal="left" vertical="center"/>
    </xf>
    <xf numFmtId="0" fontId="21" fillId="12" borderId="9" xfId="0" applyFont="1" applyFill="1" applyBorder="1" applyAlignment="1">
      <alignment horizontal="left" vertical="center"/>
    </xf>
    <xf numFmtId="0" fontId="27" fillId="0" borderId="9" xfId="0" applyFont="1" applyBorder="1" applyAlignment="1">
      <alignment horizontal="left" vertical="center" wrapText="1"/>
    </xf>
    <xf numFmtId="0" fontId="10" fillId="11" borderId="9" xfId="0" applyFont="1" applyFill="1" applyBorder="1" applyAlignment="1">
      <alignment horizontal="left" vertical="center"/>
    </xf>
    <xf numFmtId="0" fontId="35" fillId="9" borderId="4" xfId="0" applyFont="1" applyFill="1" applyBorder="1" applyAlignment="1">
      <alignment horizontal="left" vertical="center"/>
    </xf>
    <xf numFmtId="0" fontId="34" fillId="46" borderId="4" xfId="0" applyFont="1" applyFill="1" applyBorder="1" applyAlignment="1">
      <alignment horizontal="left" vertical="center" wrapText="1"/>
    </xf>
    <xf numFmtId="0" fontId="35" fillId="52" borderId="4" xfId="0" applyFont="1" applyFill="1" applyBorder="1" applyAlignment="1">
      <alignment horizontal="left" vertical="center"/>
    </xf>
    <xf numFmtId="0" fontId="35" fillId="54" borderId="4" xfId="0" applyFont="1" applyFill="1" applyBorder="1" applyAlignment="1">
      <alignment horizontal="left" vertical="center"/>
    </xf>
    <xf numFmtId="0" fontId="33" fillId="9" borderId="4" xfId="0" applyFont="1" applyFill="1" applyBorder="1" applyAlignment="1">
      <alignment horizontal="left" vertical="center" wrapText="1"/>
    </xf>
    <xf numFmtId="0" fontId="35" fillId="53" borderId="4" xfId="0" applyFont="1" applyFill="1" applyBorder="1" applyAlignment="1">
      <alignment horizontal="left" vertical="center"/>
    </xf>
    <xf numFmtId="0" fontId="9" fillId="53" borderId="4" xfId="0" applyFont="1" applyFill="1" applyBorder="1" applyAlignment="1">
      <alignment horizontal="left" vertical="center" wrapText="1"/>
    </xf>
    <xf numFmtId="0" fontId="41" fillId="59" borderId="4" xfId="0" applyFont="1" applyFill="1" applyBorder="1" applyAlignment="1">
      <alignment horizontal="left" vertical="center"/>
    </xf>
    <xf numFmtId="0" fontId="34" fillId="60" borderId="4" xfId="0" applyFont="1" applyFill="1" applyBorder="1" applyAlignment="1">
      <alignment horizontal="left" vertical="center"/>
    </xf>
    <xf numFmtId="0" fontId="38" fillId="55" borderId="4" xfId="0" applyFont="1" applyFill="1" applyBorder="1" applyAlignment="1">
      <alignment horizontal="left" vertical="center" wrapText="1"/>
    </xf>
    <xf numFmtId="0" fontId="9" fillId="56" borderId="4" xfId="0" applyFont="1" applyFill="1" applyBorder="1" applyAlignment="1">
      <alignment horizontal="left" vertical="center"/>
    </xf>
    <xf numFmtId="0" fontId="33" fillId="47" borderId="4" xfId="0" applyFont="1" applyFill="1" applyBorder="1" applyAlignment="1">
      <alignment horizontal="left" vertical="center" wrapText="1"/>
    </xf>
    <xf numFmtId="0" fontId="9" fillId="23" borderId="4" xfId="0" applyFont="1" applyFill="1" applyBorder="1" applyAlignment="1">
      <alignment horizontal="left" vertical="center" wrapText="1"/>
    </xf>
    <xf numFmtId="0" fontId="65" fillId="69" borderId="4" xfId="0" applyFont="1" applyFill="1" applyBorder="1" applyAlignment="1">
      <alignment horizontal="left" vertical="center" wrapText="1"/>
    </xf>
    <xf numFmtId="0" fontId="38" fillId="68" borderId="4" xfId="0" applyFont="1" applyFill="1" applyBorder="1" applyAlignment="1">
      <alignment horizontal="left" vertical="center" wrapText="1"/>
    </xf>
    <xf numFmtId="0" fontId="9" fillId="47" borderId="4" xfId="0" applyFont="1" applyFill="1" applyBorder="1" applyAlignment="1">
      <alignment horizontal="left" vertical="center"/>
    </xf>
    <xf numFmtId="0" fontId="71" fillId="71" borderId="4" xfId="0" applyFont="1" applyFill="1" applyBorder="1" applyAlignment="1">
      <alignment horizontal="left" vertical="center" wrapText="1"/>
    </xf>
    <xf numFmtId="0" fontId="67" fillId="71" borderId="4" xfId="0" applyFont="1" applyFill="1" applyBorder="1" applyAlignment="1">
      <alignment horizontal="left" vertical="center" wrapText="1"/>
    </xf>
    <xf numFmtId="0" fontId="9" fillId="54" borderId="4" xfId="0" applyFont="1" applyFill="1" applyBorder="1" applyAlignment="1">
      <alignment horizontal="left" vertical="center"/>
    </xf>
    <xf numFmtId="0" fontId="9" fillId="10" borderId="4" xfId="0" applyFont="1" applyFill="1" applyBorder="1" applyAlignment="1">
      <alignment horizontal="left" vertical="center"/>
    </xf>
    <xf numFmtId="0" fontId="71" fillId="55" borderId="4" xfId="0" applyFont="1" applyFill="1" applyBorder="1" applyAlignment="1">
      <alignment horizontal="left" vertical="center" wrapText="1"/>
    </xf>
    <xf numFmtId="0" fontId="72" fillId="69" borderId="4" xfId="0" applyFont="1" applyFill="1" applyBorder="1" applyAlignment="1">
      <alignment horizontal="left" vertical="center" wrapText="1"/>
    </xf>
    <xf numFmtId="0" fontId="74" fillId="70" borderId="4" xfId="0" applyFont="1" applyFill="1" applyBorder="1" applyAlignment="1">
      <alignment horizontal="left" vertical="center" wrapText="1"/>
    </xf>
    <xf numFmtId="0" fontId="74" fillId="55" borderId="4" xfId="0" applyFont="1" applyFill="1" applyBorder="1" applyAlignment="1">
      <alignment horizontal="left" vertical="center" wrapText="1"/>
    </xf>
    <xf numFmtId="0" fontId="74" fillId="25" borderId="4" xfId="0" applyFont="1" applyFill="1" applyBorder="1" applyAlignment="1">
      <alignment horizontal="left" vertical="center" wrapText="1"/>
    </xf>
    <xf numFmtId="0" fontId="9" fillId="53" borderId="4" xfId="0" applyFont="1" applyFill="1" applyBorder="1" applyAlignment="1">
      <alignment horizontal="left" vertical="center"/>
    </xf>
    <xf numFmtId="0" fontId="74" fillId="64" borderId="4" xfId="0" applyFont="1" applyFill="1" applyBorder="1" applyAlignment="1">
      <alignment horizontal="left" vertical="center" wrapText="1"/>
    </xf>
    <xf numFmtId="0" fontId="71" fillId="25" borderId="4" xfId="0" applyFont="1" applyFill="1" applyBorder="1" applyAlignment="1">
      <alignment horizontal="left" vertical="center" wrapText="1"/>
    </xf>
    <xf numFmtId="0" fontId="71" fillId="70" borderId="4" xfId="0" applyFont="1" applyFill="1" applyBorder="1" applyAlignment="1">
      <alignment horizontal="left" vertical="center" wrapText="1"/>
    </xf>
    <xf numFmtId="0" fontId="34" fillId="46" borderId="4" xfId="0" applyFont="1" applyFill="1" applyBorder="1" applyAlignment="1">
      <alignment horizontal="left" vertical="center"/>
    </xf>
    <xf numFmtId="0" fontId="35" fillId="54" borderId="4" xfId="0" applyFont="1" applyFill="1" applyBorder="1" applyAlignment="1">
      <alignment horizontal="left" vertical="center" wrapText="1"/>
    </xf>
    <xf numFmtId="0" fontId="71" fillId="71" borderId="4" xfId="0" applyFont="1" applyFill="1" applyBorder="1" applyAlignment="1">
      <alignment horizontal="left" vertical="center"/>
    </xf>
    <xf numFmtId="0" fontId="83" fillId="71" borderId="4" xfId="0" applyFont="1" applyFill="1" applyBorder="1" applyAlignment="1">
      <alignment horizontal="left" vertical="center" wrapText="1"/>
    </xf>
    <xf numFmtId="0" fontId="71" fillId="72" borderId="4" xfId="0" applyFont="1" applyFill="1" applyBorder="1" applyAlignment="1">
      <alignment horizontal="left" vertical="center" wrapText="1"/>
    </xf>
    <xf numFmtId="0" fontId="71" fillId="55" borderId="4" xfId="0" applyFont="1" applyFill="1" applyBorder="1" applyAlignment="1">
      <alignment horizontal="left" vertical="center"/>
    </xf>
    <xf numFmtId="0" fontId="71" fillId="64" borderId="4" xfId="0" applyFont="1" applyFill="1" applyBorder="1" applyAlignment="1">
      <alignment horizontal="left" vertical="center"/>
    </xf>
    <xf numFmtId="0" fontId="65" fillId="25" borderId="4" xfId="0" applyFont="1" applyFill="1" applyBorder="1" applyAlignment="1">
      <alignment horizontal="left" vertical="center"/>
    </xf>
    <xf numFmtId="0" fontId="89" fillId="25" borderId="4" xfId="0" applyFont="1" applyFill="1" applyBorder="1" applyAlignment="1">
      <alignment horizontal="left" vertical="center"/>
    </xf>
    <xf numFmtId="0" fontId="9" fillId="9" borderId="4" xfId="0" applyFont="1" applyFill="1" applyBorder="1" applyAlignment="1">
      <alignment horizontal="left" vertical="center"/>
    </xf>
    <xf numFmtId="0" fontId="71" fillId="72" borderId="4" xfId="0" applyFont="1" applyFill="1" applyBorder="1" applyAlignment="1">
      <alignment horizontal="left" vertical="center"/>
    </xf>
    <xf numFmtId="0" fontId="71" fillId="64" borderId="4" xfId="0" applyFont="1" applyFill="1" applyBorder="1" applyAlignment="1">
      <alignment horizontal="left" vertical="center" wrapText="1"/>
    </xf>
    <xf numFmtId="0" fontId="9" fillId="23" borderId="4" xfId="0" applyFont="1" applyFill="1" applyBorder="1" applyAlignment="1">
      <alignment horizontal="left" vertical="center"/>
    </xf>
    <xf numFmtId="0" fontId="81" fillId="71" borderId="4" xfId="0" applyFont="1" applyFill="1" applyBorder="1" applyAlignment="1">
      <alignment horizontal="left" vertical="center"/>
    </xf>
    <xf numFmtId="0" fontId="71" fillId="70" borderId="4" xfId="0" applyFont="1" applyFill="1" applyBorder="1" applyAlignment="1">
      <alignment horizontal="left" vertical="center"/>
    </xf>
    <xf numFmtId="0" fontId="82" fillId="71" borderId="4" xfId="0" applyFont="1" applyFill="1" applyBorder="1" applyAlignment="1">
      <alignment horizontal="left" vertical="center" wrapText="1"/>
    </xf>
    <xf numFmtId="0" fontId="38" fillId="25" borderId="4" xfId="0" applyFont="1" applyFill="1" applyBorder="1" applyAlignment="1">
      <alignment horizontal="left" vertical="center"/>
    </xf>
    <xf numFmtId="0" fontId="71" fillId="25" borderId="4" xfId="0" applyFont="1" applyFill="1" applyBorder="1" applyAlignment="1">
      <alignment horizontal="left" vertical="center"/>
    </xf>
    <xf numFmtId="0" fontId="35" fillId="10" borderId="4" xfId="0" applyFont="1" applyFill="1" applyBorder="1" applyAlignment="1">
      <alignment horizontal="left" vertical="center"/>
    </xf>
    <xf numFmtId="0" fontId="83" fillId="72" borderId="4" xfId="0" applyFont="1" applyFill="1" applyBorder="1" applyAlignment="1">
      <alignment horizontal="left" vertical="center" wrapText="1"/>
    </xf>
    <xf numFmtId="0" fontId="84" fillId="71" borderId="4" xfId="0" applyFont="1" applyFill="1" applyBorder="1" applyAlignment="1">
      <alignment horizontal="left" vertical="center" wrapText="1"/>
    </xf>
    <xf numFmtId="0" fontId="83" fillId="25" borderId="4" xfId="0" applyFont="1" applyFill="1" applyBorder="1" applyAlignment="1">
      <alignment horizontal="left" vertical="center" wrapText="1"/>
    </xf>
    <xf numFmtId="0" fontId="9" fillId="52" borderId="4" xfId="0" applyFont="1" applyFill="1" applyBorder="1" applyAlignment="1">
      <alignment horizontal="left" vertical="center"/>
    </xf>
    <xf numFmtId="0" fontId="74" fillId="72" borderId="4" xfId="0" applyFont="1" applyFill="1" applyBorder="1" applyAlignment="1">
      <alignment horizontal="left" vertical="center" wrapText="1"/>
    </xf>
    <xf numFmtId="0" fontId="38" fillId="55" borderId="4" xfId="0" applyFont="1" applyFill="1" applyBorder="1" applyAlignment="1">
      <alignment horizontal="left" vertical="center"/>
    </xf>
    <xf numFmtId="0" fontId="83" fillId="55" borderId="4" xfId="0" applyFont="1" applyFill="1" applyBorder="1" applyAlignment="1">
      <alignment horizontal="left" vertical="center" wrapText="1"/>
    </xf>
    <xf numFmtId="0" fontId="74" fillId="65" borderId="4" xfId="0" applyFont="1" applyFill="1" applyBorder="1" applyAlignment="1">
      <alignment horizontal="left" vertical="center" wrapText="1"/>
    </xf>
    <xf numFmtId="0" fontId="83" fillId="64" borderId="4" xfId="0" applyFont="1" applyFill="1" applyBorder="1" applyAlignment="1">
      <alignment horizontal="left" vertical="center" wrapText="1"/>
    </xf>
    <xf numFmtId="0" fontId="35" fillId="23" borderId="4" xfId="0" applyFont="1" applyFill="1" applyBorder="1" applyAlignment="1">
      <alignment horizontal="left" vertical="center"/>
    </xf>
    <xf numFmtId="0" fontId="35" fillId="52" borderId="4" xfId="0" applyFont="1" applyFill="1" applyBorder="1" applyAlignment="1">
      <alignment horizontal="left" vertical="center" wrapText="1"/>
    </xf>
    <xf numFmtId="0" fontId="18" fillId="54" borderId="4" xfId="0" applyFont="1" applyFill="1" applyBorder="1" applyAlignment="1">
      <alignment horizontal="left" vertical="center" wrapText="1"/>
    </xf>
    <xf numFmtId="0" fontId="93" fillId="69" borderId="4" xfId="0" applyFont="1" applyFill="1" applyBorder="1" applyAlignment="1">
      <alignment horizontal="left" vertical="center"/>
    </xf>
    <xf numFmtId="0" fontId="94" fillId="57" borderId="4" xfId="0" applyFont="1" applyFill="1" applyBorder="1" applyAlignment="1">
      <alignment horizontal="left" vertical="center" wrapText="1"/>
    </xf>
    <xf numFmtId="0" fontId="35" fillId="53" borderId="4" xfId="0" applyFont="1" applyFill="1" applyBorder="1" applyAlignment="1">
      <alignment horizontal="left" vertical="center" wrapText="1"/>
    </xf>
    <xf numFmtId="0" fontId="35" fillId="9" borderId="4" xfId="0" applyFont="1" applyFill="1" applyBorder="1" applyAlignment="1">
      <alignment horizontal="left" vertical="center" wrapText="1"/>
    </xf>
    <xf numFmtId="0" fontId="35" fillId="77" borderId="0" xfId="0" applyFont="1" applyFill="1" applyAlignment="1">
      <alignment horizontal="center"/>
    </xf>
    <xf numFmtId="0" fontId="9" fillId="73" borderId="4" xfId="0" applyFont="1" applyFill="1" applyBorder="1" applyAlignment="1">
      <alignment horizontal="left" vertical="center" wrapText="1"/>
    </xf>
    <xf numFmtId="0" fontId="35" fillId="82" borderId="0" xfId="0" applyFont="1" applyFill="1" applyAlignment="1">
      <alignment horizontal="center"/>
    </xf>
    <xf numFmtId="0" fontId="35" fillId="78" borderId="0" xfId="0" applyFont="1" applyFill="1" applyAlignment="1">
      <alignment horizontal="center"/>
    </xf>
    <xf numFmtId="0" fontId="35" fillId="76" borderId="0" xfId="0" applyFont="1" applyFill="1" applyAlignment="1">
      <alignment horizontal="center"/>
    </xf>
    <xf numFmtId="0" fontId="35" fillId="79" borderId="0" xfId="0" applyFont="1" applyFill="1" applyAlignment="1">
      <alignment horizontal="center"/>
    </xf>
    <xf numFmtId="0" fontId="35" fillId="80" borderId="0" xfId="0" applyFont="1" applyFill="1" applyAlignment="1">
      <alignment horizontal="center"/>
    </xf>
    <xf numFmtId="0" fontId="35" fillId="75" borderId="0" xfId="0" applyFont="1" applyFill="1" applyAlignment="1">
      <alignment horizontal="center"/>
    </xf>
    <xf numFmtId="0" fontId="59" fillId="83" borderId="4" xfId="0" applyFont="1" applyFill="1" applyBorder="1" applyAlignment="1">
      <alignment horizontal="left" vertical="center" wrapText="1"/>
    </xf>
    <xf numFmtId="0" fontId="98" fillId="0" borderId="0" xfId="0" applyFont="1" applyAlignment="1">
      <alignment vertical="center" wrapText="1"/>
    </xf>
    <xf numFmtId="0" fontId="96" fillId="0" borderId="0" xfId="0" applyFont="1" applyAlignment="1">
      <alignment vertical="center" wrapText="1"/>
    </xf>
    <xf numFmtId="0" fontId="44" fillId="0" borderId="0" xfId="0" applyFont="1" applyAlignment="1">
      <alignment vertical="center" wrapText="1"/>
    </xf>
    <xf numFmtId="0" fontId="97" fillId="0" borderId="0" xfId="0" applyFont="1" applyAlignment="1">
      <alignment wrapText="1"/>
    </xf>
  </cellXfs>
  <cellStyles count="1">
    <cellStyle name="Normal" xfId="0" builtinId="0"/>
  </cellStyles>
  <dxfs count="22">
    <dxf>
      <fill>
        <patternFill patternType="solid">
          <fgColor rgb="FFFF8080"/>
        </patternFill>
      </fill>
    </dxf>
    <dxf>
      <fill>
        <patternFill patternType="solid">
          <fgColor rgb="FFFF8080"/>
        </patternFill>
      </fill>
    </dxf>
    <dxf>
      <fill>
        <patternFill patternType="solid">
          <fgColor rgb="FFFF8080"/>
        </patternFill>
      </fill>
    </dxf>
    <dxf>
      <fill>
        <patternFill patternType="solid">
          <fgColor rgb="FFFF8080"/>
        </patternFill>
      </fill>
    </dxf>
    <dxf>
      <fill>
        <patternFill patternType="solid">
          <fgColor rgb="FFFFC000"/>
        </patternFill>
      </fill>
    </dxf>
    <dxf>
      <fill>
        <patternFill patternType="solid">
          <fgColor rgb="FFFFC000"/>
        </patternFill>
      </fill>
    </dxf>
    <dxf>
      <fill>
        <patternFill patternType="solid">
          <fgColor rgb="FFFFC000"/>
        </patternFill>
      </fill>
    </dxf>
    <dxf>
      <fill>
        <patternFill patternType="solid">
          <fgColor rgb="FFFFC000"/>
        </patternFill>
      </fill>
    </dxf>
    <dxf>
      <fill>
        <patternFill patternType="solid">
          <fgColor rgb="FFFFC000"/>
        </patternFill>
      </fill>
    </dxf>
    <dxf>
      <fill>
        <patternFill patternType="solid">
          <fgColor rgb="FFFFC000"/>
        </patternFill>
      </fill>
    </dxf>
    <dxf>
      <fill>
        <patternFill patternType="solid">
          <fgColor rgb="FFFFC000"/>
        </patternFill>
      </fill>
    </dxf>
    <dxf>
      <fill>
        <patternFill patternType="solid">
          <fgColor rgb="FFFFC000"/>
        </patternFill>
      </fill>
    </dxf>
    <dxf>
      <fill>
        <patternFill patternType="solid">
          <fgColor rgb="FFFFE8E8"/>
          <bgColor rgb="FFFFE8E8"/>
        </patternFill>
      </fill>
    </dxf>
    <dxf>
      <fill>
        <patternFill patternType="solid">
          <fgColor rgb="FFFFE8E8"/>
          <bgColor rgb="FFFFE8E8"/>
        </patternFill>
      </fill>
    </dxf>
    <dxf>
      <fill>
        <patternFill patternType="solid">
          <fgColor rgb="FFFCE4D6"/>
          <bgColor rgb="FFFCE4D6"/>
        </patternFill>
      </fill>
    </dxf>
    <dxf>
      <fill>
        <patternFill patternType="solid">
          <fgColor rgb="FFFFF2CC"/>
          <bgColor rgb="FFFFF2CC"/>
        </patternFill>
      </fill>
    </dxf>
    <dxf>
      <fill>
        <patternFill patternType="solid">
          <fgColor rgb="FFFCE4D6"/>
          <bgColor rgb="FFFCE4D6"/>
        </patternFill>
      </fill>
    </dxf>
    <dxf>
      <fill>
        <patternFill patternType="solid">
          <fgColor rgb="FFFFF2CC"/>
          <bgColor rgb="FFFFF2CC"/>
        </patternFill>
      </fill>
    </dxf>
    <dxf>
      <fill>
        <patternFill patternType="solid">
          <fgColor rgb="FFFCE4D6"/>
          <bgColor rgb="FFFCE4D6"/>
        </patternFill>
      </fill>
    </dxf>
    <dxf>
      <fill>
        <patternFill patternType="solid">
          <fgColor rgb="FFFFF2CC"/>
          <bgColor rgb="FFFFF2CC"/>
        </patternFill>
      </fill>
    </dxf>
    <dxf>
      <fill>
        <patternFill patternType="solid">
          <fgColor rgb="FFFCE4D6"/>
          <bgColor rgb="FFFCE4D6"/>
        </patternFill>
      </fill>
    </dxf>
    <dxf>
      <fill>
        <patternFill patternType="solid">
          <fgColor rgb="FFFFF2CC"/>
          <bgColor rgb="FFFFF2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Produit A — Historique, Prévision, Réel, Commandes</a:t>
            </a:r>
          </a:p>
        </c:rich>
      </c:tx>
      <c:overlay val="1"/>
    </c:title>
    <c:autoTitleDeleted val="0"/>
    <c:plotArea>
      <c:layout/>
      <c:lineChart>
        <c:grouping val="standard"/>
        <c:varyColors val="1"/>
        <c:ser>
          <c:idx val="0"/>
          <c:order val="0"/>
          <c:tx>
            <c:v>Y-5</c:v>
          </c:tx>
          <c:spPr>
            <a:ln w="20000">
              <a:solidFill>
                <a:srgbClr val="BFD7ED"/>
              </a:solidFill>
              <a:prstDash val="solid"/>
            </a:ln>
          </c:spPr>
          <c:marker>
            <c:symbol val="none"/>
          </c:marker>
          <c:cat>
            <c:strRef>
              <c:f>Données!$A$6:$A$17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Données!$B$6:$B$17</c:f>
              <c:numCache>
                <c:formatCode>#,##0.0</c:formatCode>
                <c:ptCount val="12"/>
                <c:pt idx="0">
                  <c:v>77</c:v>
                </c:pt>
                <c:pt idx="1">
                  <c:v>79</c:v>
                </c:pt>
                <c:pt idx="2">
                  <c:v>82</c:v>
                </c:pt>
                <c:pt idx="3">
                  <c:v>80</c:v>
                </c:pt>
                <c:pt idx="4">
                  <c:v>78</c:v>
                </c:pt>
                <c:pt idx="5">
                  <c:v>75</c:v>
                </c:pt>
                <c:pt idx="6">
                  <c:v>76</c:v>
                </c:pt>
                <c:pt idx="7">
                  <c:v>83</c:v>
                </c:pt>
                <c:pt idx="8">
                  <c:v>91</c:v>
                </c:pt>
                <c:pt idx="9">
                  <c:v>116</c:v>
                </c:pt>
                <c:pt idx="10">
                  <c:v>96</c:v>
                </c:pt>
                <c:pt idx="11">
                  <c:v>86</c:v>
                </c:pt>
              </c:numCache>
            </c:numRef>
          </c:val>
          <c:smooth val="0"/>
          <c:extLst>
            <c:ext xmlns:c16="http://schemas.microsoft.com/office/drawing/2014/chart" uri="{C3380CC4-5D6E-409C-BE32-E72D297353CC}">
              <c16:uniqueId val="{00000000-AD38-4695-A390-75EE78552C14}"/>
            </c:ext>
          </c:extLst>
        </c:ser>
        <c:ser>
          <c:idx val="1"/>
          <c:order val="1"/>
          <c:tx>
            <c:v>Y-4</c:v>
          </c:tx>
          <c:spPr>
            <a:ln w="20000">
              <a:solidFill>
                <a:srgbClr val="9CC3E0"/>
              </a:solidFill>
              <a:prstDash val="solid"/>
            </a:ln>
          </c:spPr>
          <c:marker>
            <c:symbol val="none"/>
          </c:marker>
          <c:cat>
            <c:strRef>
              <c:f>Données!$A$6:$A$17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Données!$C$6:$C$17</c:f>
              <c:numCache>
                <c:formatCode>#,##0.0</c:formatCode>
                <c:ptCount val="12"/>
                <c:pt idx="0">
                  <c:v>79</c:v>
                </c:pt>
                <c:pt idx="1">
                  <c:v>81</c:v>
                </c:pt>
                <c:pt idx="2">
                  <c:v>84</c:v>
                </c:pt>
                <c:pt idx="3">
                  <c:v>82</c:v>
                </c:pt>
                <c:pt idx="4">
                  <c:v>80</c:v>
                </c:pt>
                <c:pt idx="5">
                  <c:v>77</c:v>
                </c:pt>
                <c:pt idx="6">
                  <c:v>78</c:v>
                </c:pt>
                <c:pt idx="7">
                  <c:v>85</c:v>
                </c:pt>
                <c:pt idx="8">
                  <c:v>93</c:v>
                </c:pt>
                <c:pt idx="9">
                  <c:v>118</c:v>
                </c:pt>
                <c:pt idx="10">
                  <c:v>98</c:v>
                </c:pt>
                <c:pt idx="11">
                  <c:v>88</c:v>
                </c:pt>
              </c:numCache>
            </c:numRef>
          </c:val>
          <c:smooth val="0"/>
          <c:extLst>
            <c:ext xmlns:c16="http://schemas.microsoft.com/office/drawing/2014/chart" uri="{C3380CC4-5D6E-409C-BE32-E72D297353CC}">
              <c16:uniqueId val="{00000001-AD38-4695-A390-75EE78552C14}"/>
            </c:ext>
          </c:extLst>
        </c:ser>
        <c:ser>
          <c:idx val="2"/>
          <c:order val="2"/>
          <c:tx>
            <c:v>Y-3</c:v>
          </c:tx>
          <c:spPr>
            <a:ln w="20000">
              <a:solidFill>
                <a:srgbClr val="78AFD3"/>
              </a:solidFill>
              <a:prstDash val="solid"/>
            </a:ln>
          </c:spPr>
          <c:marker>
            <c:symbol val="none"/>
          </c:marker>
          <c:cat>
            <c:strRef>
              <c:f>Données!$A$6:$A$17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Données!$D$6:$D$17</c:f>
              <c:numCache>
                <c:formatCode>#,##0.0</c:formatCode>
                <c:ptCount val="12"/>
                <c:pt idx="0">
                  <c:v>81</c:v>
                </c:pt>
                <c:pt idx="1">
                  <c:v>83</c:v>
                </c:pt>
                <c:pt idx="2">
                  <c:v>86</c:v>
                </c:pt>
                <c:pt idx="3">
                  <c:v>84</c:v>
                </c:pt>
                <c:pt idx="4">
                  <c:v>82</c:v>
                </c:pt>
                <c:pt idx="5">
                  <c:v>79</c:v>
                </c:pt>
                <c:pt idx="6">
                  <c:v>80</c:v>
                </c:pt>
                <c:pt idx="7">
                  <c:v>87</c:v>
                </c:pt>
                <c:pt idx="8">
                  <c:v>95</c:v>
                </c:pt>
                <c:pt idx="9">
                  <c:v>120</c:v>
                </c:pt>
                <c:pt idx="10">
                  <c:v>100</c:v>
                </c:pt>
                <c:pt idx="11">
                  <c:v>90</c:v>
                </c:pt>
              </c:numCache>
            </c:numRef>
          </c:val>
          <c:smooth val="0"/>
          <c:extLst>
            <c:ext xmlns:c16="http://schemas.microsoft.com/office/drawing/2014/chart" uri="{C3380CC4-5D6E-409C-BE32-E72D297353CC}">
              <c16:uniqueId val="{00000002-AD38-4695-A390-75EE78552C14}"/>
            </c:ext>
          </c:extLst>
        </c:ser>
        <c:ser>
          <c:idx val="3"/>
          <c:order val="3"/>
          <c:tx>
            <c:v>Y-2</c:v>
          </c:tx>
          <c:spPr>
            <a:ln w="20000">
              <a:solidFill>
                <a:srgbClr val="558BC2"/>
              </a:solidFill>
              <a:prstDash val="solid"/>
            </a:ln>
          </c:spPr>
          <c:marker>
            <c:symbol val="none"/>
          </c:marker>
          <c:cat>
            <c:strRef>
              <c:f>Données!$A$6:$A$17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Données!$E$6:$E$17</c:f>
              <c:numCache>
                <c:formatCode>#,##0.0</c:formatCode>
                <c:ptCount val="12"/>
                <c:pt idx="0">
                  <c:v>83</c:v>
                </c:pt>
                <c:pt idx="1">
                  <c:v>85</c:v>
                </c:pt>
                <c:pt idx="2">
                  <c:v>88</c:v>
                </c:pt>
                <c:pt idx="3">
                  <c:v>86</c:v>
                </c:pt>
                <c:pt idx="4">
                  <c:v>84</c:v>
                </c:pt>
                <c:pt idx="5">
                  <c:v>81</c:v>
                </c:pt>
                <c:pt idx="6">
                  <c:v>82</c:v>
                </c:pt>
                <c:pt idx="7">
                  <c:v>89</c:v>
                </c:pt>
                <c:pt idx="8">
                  <c:v>97</c:v>
                </c:pt>
                <c:pt idx="9">
                  <c:v>155</c:v>
                </c:pt>
                <c:pt idx="10">
                  <c:v>102</c:v>
                </c:pt>
                <c:pt idx="11">
                  <c:v>92</c:v>
                </c:pt>
              </c:numCache>
            </c:numRef>
          </c:val>
          <c:smooth val="0"/>
          <c:extLst>
            <c:ext xmlns:c16="http://schemas.microsoft.com/office/drawing/2014/chart" uri="{C3380CC4-5D6E-409C-BE32-E72D297353CC}">
              <c16:uniqueId val="{00000003-AD38-4695-A390-75EE78552C14}"/>
            </c:ext>
          </c:extLst>
        </c:ser>
        <c:ser>
          <c:idx val="4"/>
          <c:order val="4"/>
          <c:tx>
            <c:v>Y-1</c:v>
          </c:tx>
          <c:spPr>
            <a:ln w="20000">
              <a:solidFill>
                <a:srgbClr val="2E75B6"/>
              </a:solidFill>
              <a:prstDash val="solid"/>
            </a:ln>
          </c:spPr>
          <c:marker>
            <c:symbol val="none"/>
          </c:marker>
          <c:cat>
            <c:strRef>
              <c:f>Données!$A$6:$A$17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Données!$F$6:$F$17</c:f>
              <c:numCache>
                <c:formatCode>#,##0.0</c:formatCode>
                <c:ptCount val="12"/>
                <c:pt idx="0">
                  <c:v>85</c:v>
                </c:pt>
                <c:pt idx="1">
                  <c:v>87</c:v>
                </c:pt>
                <c:pt idx="2">
                  <c:v>90</c:v>
                </c:pt>
                <c:pt idx="3">
                  <c:v>88</c:v>
                </c:pt>
                <c:pt idx="4">
                  <c:v>86</c:v>
                </c:pt>
                <c:pt idx="5">
                  <c:v>83</c:v>
                </c:pt>
                <c:pt idx="6">
                  <c:v>84</c:v>
                </c:pt>
                <c:pt idx="7">
                  <c:v>91</c:v>
                </c:pt>
                <c:pt idx="8">
                  <c:v>99</c:v>
                </c:pt>
                <c:pt idx="9">
                  <c:v>126</c:v>
                </c:pt>
                <c:pt idx="10">
                  <c:v>104</c:v>
                </c:pt>
                <c:pt idx="11">
                  <c:v>94</c:v>
                </c:pt>
              </c:numCache>
            </c:numRef>
          </c:val>
          <c:smooth val="0"/>
          <c:extLst>
            <c:ext xmlns:c16="http://schemas.microsoft.com/office/drawing/2014/chart" uri="{C3380CC4-5D6E-409C-BE32-E72D297353CC}">
              <c16:uniqueId val="{00000004-AD38-4695-A390-75EE78552C14}"/>
            </c:ext>
          </c:extLst>
        </c:ser>
        <c:ser>
          <c:idx val="5"/>
          <c:order val="5"/>
          <c:tx>
            <c:v>Prévision Y (Combinée)</c:v>
          </c:tx>
          <c:spPr>
            <a:ln w="20000">
              <a:solidFill>
                <a:srgbClr val="1B8A3A"/>
              </a:solidFill>
              <a:prstDash val="solid"/>
            </a:ln>
          </c:spPr>
          <c:marker>
            <c:symbol val="none"/>
          </c:marker>
          <c:cat>
            <c:strRef>
              <c:f>Données!$A$6:$A$17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Combinée!$W$22:$W$33</c:f>
              <c:numCache>
                <c:formatCode>#,##0.0</c:formatCode>
                <c:ptCount val="12"/>
                <c:pt idx="0">
                  <c:v>85.173520907452186</c:v>
                </c:pt>
                <c:pt idx="1">
                  <c:v>95.895364127566779</c:v>
                </c:pt>
                <c:pt idx="2">
                  <c:v>99.202100821620803</c:v>
                </c:pt>
                <c:pt idx="3">
                  <c:v>88.179645174774038</c:v>
                </c:pt>
                <c:pt idx="4">
                  <c:v>86.175562329892799</c:v>
                </c:pt>
                <c:pt idx="5">
                  <c:v>83.169438062570961</c:v>
                </c:pt>
                <c:pt idx="6">
                  <c:v>84.171479485011574</c:v>
                </c:pt>
                <c:pt idx="7">
                  <c:v>91.185769442095875</c:v>
                </c:pt>
                <c:pt idx="8">
                  <c:v>99.202100821620789</c:v>
                </c:pt>
                <c:pt idx="9">
                  <c:v>125.62866915126104</c:v>
                </c:pt>
                <c:pt idx="10">
                  <c:v>104.21230793382385</c:v>
                </c:pt>
                <c:pt idx="11">
                  <c:v>94.191893709417712</c:v>
                </c:pt>
              </c:numCache>
            </c:numRef>
          </c:val>
          <c:smooth val="0"/>
          <c:extLst>
            <c:ext xmlns:c16="http://schemas.microsoft.com/office/drawing/2014/chart" uri="{C3380CC4-5D6E-409C-BE32-E72D297353CC}">
              <c16:uniqueId val="{00000005-AD38-4695-A390-75EE78552C14}"/>
            </c:ext>
          </c:extLst>
        </c:ser>
        <c:ser>
          <c:idx val="6"/>
          <c:order val="6"/>
          <c:tx>
            <c:v>Prévision Y (Simplifiée)</c:v>
          </c:tx>
          <c:spPr>
            <a:ln w="20000">
              <a:solidFill>
                <a:srgbClr val="E67E22"/>
              </a:solidFill>
              <a:prstDash val="solid"/>
            </a:ln>
          </c:spPr>
          <c:marker>
            <c:symbol val="none"/>
          </c:marker>
          <c:cat>
            <c:strRef>
              <c:f>Données!$A$6:$A$17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Simplifiée!$E$9:$E$20</c:f>
              <c:numCache>
                <c:formatCode>#,##0.0</c:formatCode>
                <c:ptCount val="12"/>
                <c:pt idx="0">
                  <c:v>87.063364569388668</c:v>
                </c:pt>
                <c:pt idx="1">
                  <c:v>97.968042523033333</c:v>
                </c:pt>
                <c:pt idx="2">
                  <c:v>101.26569767441862</c:v>
                </c:pt>
                <c:pt idx="3">
                  <c:v>90.061129568106324</c:v>
                </c:pt>
                <c:pt idx="4">
                  <c:v>88.06260162601626</c:v>
                </c:pt>
                <c:pt idx="5">
                  <c:v>85.064947648070017</c:v>
                </c:pt>
                <c:pt idx="6">
                  <c:v>86.064146341463427</c:v>
                </c:pt>
                <c:pt idx="7">
                  <c:v>93.05904688105386</c:v>
                </c:pt>
                <c:pt idx="8">
                  <c:v>101.05412913727618</c:v>
                </c:pt>
                <c:pt idx="9">
                  <c:v>125.54729728711378</c:v>
                </c:pt>
                <c:pt idx="10">
                  <c:v>106.05145098039218</c:v>
                </c:pt>
                <c:pt idx="11">
                  <c:v>96.057101449275365</c:v>
                </c:pt>
              </c:numCache>
            </c:numRef>
          </c:val>
          <c:smooth val="0"/>
          <c:extLst>
            <c:ext xmlns:c16="http://schemas.microsoft.com/office/drawing/2014/chart" uri="{C3380CC4-5D6E-409C-BE32-E72D297353CC}">
              <c16:uniqueId val="{00000006-AD38-4695-A390-75EE78552C14}"/>
            </c:ext>
          </c:extLst>
        </c:ser>
        <c:ser>
          <c:idx val="7"/>
          <c:order val="7"/>
          <c:tx>
            <c:v>Réel Y</c:v>
          </c:tx>
          <c:spPr>
            <a:ln w="20000">
              <a:solidFill>
                <a:srgbClr val="2C3E50"/>
              </a:solidFill>
              <a:prstDash val="solid"/>
            </a:ln>
          </c:spPr>
          <c:marker>
            <c:symbol val="circle"/>
            <c:size val="6"/>
            <c:spPr>
              <a:solidFill>
                <a:srgbClr val="2C3E50"/>
              </a:solidFill>
              <a:ln>
                <a:solidFill>
                  <a:srgbClr val="2C3E50"/>
                </a:solidFill>
                <a:prstDash val="solid"/>
              </a:ln>
            </c:spPr>
          </c:marker>
          <c:cat>
            <c:strRef>
              <c:f>Données!$A$6:$A$17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Combinée!$AI$22:$AI$33</c:f>
              <c:numCache>
                <c:formatCode>#,##0.0</c:formatCode>
                <c:ptCount val="12"/>
              </c:numCache>
            </c:numRef>
          </c:val>
          <c:smooth val="0"/>
          <c:extLst>
            <c:ext xmlns:c16="http://schemas.microsoft.com/office/drawing/2014/chart" uri="{C3380CC4-5D6E-409C-BE32-E72D297353CC}">
              <c16:uniqueId val="{00000007-AD38-4695-A390-75EE78552C14}"/>
            </c:ext>
          </c:extLst>
        </c:ser>
        <c:ser>
          <c:idx val="8"/>
          <c:order val="8"/>
          <c:tx>
            <c:v>Commandes Y</c:v>
          </c:tx>
          <c:spPr>
            <a:ln w="20000">
              <a:solidFill>
                <a:srgbClr val="117A65"/>
              </a:solidFill>
              <a:prstDash val="solid"/>
            </a:ln>
          </c:spPr>
          <c:marker>
            <c:symbol val="circle"/>
            <c:size val="6"/>
            <c:spPr>
              <a:solidFill>
                <a:srgbClr val="117A65"/>
              </a:solidFill>
              <a:ln>
                <a:solidFill>
                  <a:srgbClr val="117A65"/>
                </a:solidFill>
                <a:prstDash val="solid"/>
              </a:ln>
            </c:spPr>
          </c:marker>
          <c:cat>
            <c:strRef>
              <c:f>Données!$A$6:$A$17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Combinée!$AN$22:$AN$33</c:f>
              <c:numCache>
                <c:formatCode>#,##0.0</c:formatCode>
                <c:ptCount val="12"/>
              </c:numCache>
            </c:numRef>
          </c:val>
          <c:smooth val="0"/>
          <c:extLst>
            <c:ext xmlns:c16="http://schemas.microsoft.com/office/drawing/2014/chart" uri="{C3380CC4-5D6E-409C-BE32-E72D297353CC}">
              <c16:uniqueId val="{00000008-AD38-4695-A390-75EE78552C14}"/>
            </c:ext>
          </c:extLst>
        </c:ser>
        <c:dLbls>
          <c:showLegendKey val="0"/>
          <c:showVal val="0"/>
          <c:showCatName val="0"/>
          <c:showSerName val="0"/>
          <c:showPercent val="0"/>
          <c:showBubbleSize val="0"/>
        </c:dLbls>
        <c:smooth val="0"/>
        <c:axId val="10"/>
        <c:axId val="100"/>
      </c:lineChart>
      <c:catAx>
        <c:axId val="10"/>
        <c:scaling>
          <c:orientation val="minMax"/>
        </c:scaling>
        <c:delete val="1"/>
        <c:axPos val="b"/>
        <c:title>
          <c:tx>
            <c:rich>
              <a:bodyPr/>
              <a:lstStyle/>
              <a:p>
                <a:pPr>
                  <a:defRPr/>
                </a:pPr>
                <a:r>
                  <a:t>Mois</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t>Ventes</a:t>
                </a:r>
              </a:p>
            </c:rich>
          </c:tx>
          <c:overlay val="1"/>
        </c:title>
        <c:numFmt formatCode="#,##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Produit B — Historique, Prévision, Réel, Commandes</a:t>
            </a:r>
          </a:p>
        </c:rich>
      </c:tx>
      <c:overlay val="1"/>
    </c:title>
    <c:autoTitleDeleted val="0"/>
    <c:plotArea>
      <c:layout/>
      <c:lineChart>
        <c:grouping val="standard"/>
        <c:varyColors val="1"/>
        <c:ser>
          <c:idx val="0"/>
          <c:order val="0"/>
          <c:tx>
            <c:v>Y-5</c:v>
          </c:tx>
          <c:spPr>
            <a:ln w="20000">
              <a:solidFill>
                <a:srgbClr val="BFD7ED"/>
              </a:solidFill>
              <a:prstDash val="solid"/>
            </a:ln>
          </c:spPr>
          <c:marker>
            <c:symbol val="none"/>
          </c:marker>
          <c:cat>
            <c:strRef>
              <c:f>Données!$A$21:$A$32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Données!$B$21:$B$32</c:f>
              <c:numCache>
                <c:formatCode>#,##0.0</c:formatCode>
                <c:ptCount val="12"/>
                <c:pt idx="0">
                  <c:v>49</c:v>
                </c:pt>
                <c:pt idx="1">
                  <c:v>31</c:v>
                </c:pt>
                <c:pt idx="2">
                  <c:v>23</c:v>
                </c:pt>
                <c:pt idx="3">
                  <c:v>18</c:v>
                </c:pt>
                <c:pt idx="4">
                  <c:v>16</c:v>
                </c:pt>
                <c:pt idx="5">
                  <c:v>13</c:v>
                </c:pt>
                <c:pt idx="6">
                  <c:v>13</c:v>
                </c:pt>
                <c:pt idx="7">
                  <c:v>18</c:v>
                </c:pt>
                <c:pt idx="8">
                  <c:v>41</c:v>
                </c:pt>
                <c:pt idx="9">
                  <c:v>99</c:v>
                </c:pt>
                <c:pt idx="10">
                  <c:v>198</c:v>
                </c:pt>
                <c:pt idx="11">
                  <c:v>252</c:v>
                </c:pt>
              </c:numCache>
            </c:numRef>
          </c:val>
          <c:smooth val="0"/>
          <c:extLst>
            <c:ext xmlns:c16="http://schemas.microsoft.com/office/drawing/2014/chart" uri="{C3380CC4-5D6E-409C-BE32-E72D297353CC}">
              <c16:uniqueId val="{00000000-BF26-4E3E-BCAD-1F3C3608AE2E}"/>
            </c:ext>
          </c:extLst>
        </c:ser>
        <c:ser>
          <c:idx val="1"/>
          <c:order val="1"/>
          <c:tx>
            <c:v>Y-4</c:v>
          </c:tx>
          <c:spPr>
            <a:ln w="20000">
              <a:solidFill>
                <a:srgbClr val="9CC3E0"/>
              </a:solidFill>
              <a:prstDash val="solid"/>
            </a:ln>
          </c:spPr>
          <c:marker>
            <c:symbol val="none"/>
          </c:marker>
          <c:cat>
            <c:strRef>
              <c:f>Données!$A$21:$A$32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Données!$C$21:$C$32</c:f>
              <c:numCache>
                <c:formatCode>#,##0.0</c:formatCode>
                <c:ptCount val="12"/>
                <c:pt idx="0">
                  <c:v>52</c:v>
                </c:pt>
                <c:pt idx="1">
                  <c:v>33</c:v>
                </c:pt>
                <c:pt idx="2">
                  <c:v>24</c:v>
                </c:pt>
                <c:pt idx="3">
                  <c:v>19</c:v>
                </c:pt>
                <c:pt idx="4">
                  <c:v>17</c:v>
                </c:pt>
                <c:pt idx="5">
                  <c:v>14</c:v>
                </c:pt>
                <c:pt idx="6">
                  <c:v>14</c:v>
                </c:pt>
                <c:pt idx="7">
                  <c:v>19</c:v>
                </c:pt>
                <c:pt idx="8">
                  <c:v>43</c:v>
                </c:pt>
                <c:pt idx="9">
                  <c:v>104</c:v>
                </c:pt>
                <c:pt idx="10">
                  <c:v>209</c:v>
                </c:pt>
                <c:pt idx="11">
                  <c:v>266</c:v>
                </c:pt>
              </c:numCache>
            </c:numRef>
          </c:val>
          <c:smooth val="0"/>
          <c:extLst>
            <c:ext xmlns:c16="http://schemas.microsoft.com/office/drawing/2014/chart" uri="{C3380CC4-5D6E-409C-BE32-E72D297353CC}">
              <c16:uniqueId val="{00000001-BF26-4E3E-BCAD-1F3C3608AE2E}"/>
            </c:ext>
          </c:extLst>
        </c:ser>
        <c:ser>
          <c:idx val="2"/>
          <c:order val="2"/>
          <c:tx>
            <c:v>Y-3</c:v>
          </c:tx>
          <c:spPr>
            <a:ln w="20000">
              <a:solidFill>
                <a:srgbClr val="78AFD3"/>
              </a:solidFill>
              <a:prstDash val="solid"/>
            </a:ln>
          </c:spPr>
          <c:marker>
            <c:symbol val="none"/>
          </c:marker>
          <c:cat>
            <c:strRef>
              <c:f>Données!$A$21:$A$32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Données!$D$21:$D$32</c:f>
              <c:numCache>
                <c:formatCode>#,##0.0</c:formatCode>
                <c:ptCount val="12"/>
                <c:pt idx="0">
                  <c:v>55</c:v>
                </c:pt>
                <c:pt idx="1">
                  <c:v>35</c:v>
                </c:pt>
                <c:pt idx="2">
                  <c:v>25</c:v>
                </c:pt>
                <c:pt idx="3">
                  <c:v>20</c:v>
                </c:pt>
                <c:pt idx="4">
                  <c:v>18</c:v>
                </c:pt>
                <c:pt idx="5">
                  <c:v>15</c:v>
                </c:pt>
                <c:pt idx="6">
                  <c:v>15</c:v>
                </c:pt>
                <c:pt idx="7">
                  <c:v>20</c:v>
                </c:pt>
                <c:pt idx="8">
                  <c:v>45</c:v>
                </c:pt>
                <c:pt idx="9">
                  <c:v>110</c:v>
                </c:pt>
                <c:pt idx="10">
                  <c:v>220</c:v>
                </c:pt>
                <c:pt idx="11">
                  <c:v>280</c:v>
                </c:pt>
              </c:numCache>
            </c:numRef>
          </c:val>
          <c:smooth val="0"/>
          <c:extLst>
            <c:ext xmlns:c16="http://schemas.microsoft.com/office/drawing/2014/chart" uri="{C3380CC4-5D6E-409C-BE32-E72D297353CC}">
              <c16:uniqueId val="{00000002-BF26-4E3E-BCAD-1F3C3608AE2E}"/>
            </c:ext>
          </c:extLst>
        </c:ser>
        <c:ser>
          <c:idx val="3"/>
          <c:order val="3"/>
          <c:tx>
            <c:v>Y-2</c:v>
          </c:tx>
          <c:spPr>
            <a:ln w="20000">
              <a:solidFill>
                <a:srgbClr val="558BC2"/>
              </a:solidFill>
              <a:prstDash val="solid"/>
            </a:ln>
          </c:spPr>
          <c:marker>
            <c:symbol val="none"/>
          </c:marker>
          <c:cat>
            <c:strRef>
              <c:f>Données!$A$21:$A$32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Données!$E$21:$E$32</c:f>
              <c:numCache>
                <c:formatCode>#,##0.0</c:formatCode>
                <c:ptCount val="12"/>
                <c:pt idx="0">
                  <c:v>58</c:v>
                </c:pt>
                <c:pt idx="1">
                  <c:v>37</c:v>
                </c:pt>
                <c:pt idx="2">
                  <c:v>26</c:v>
                </c:pt>
                <c:pt idx="3">
                  <c:v>40</c:v>
                </c:pt>
                <c:pt idx="4">
                  <c:v>19</c:v>
                </c:pt>
                <c:pt idx="5">
                  <c:v>16</c:v>
                </c:pt>
                <c:pt idx="6">
                  <c:v>16</c:v>
                </c:pt>
                <c:pt idx="7">
                  <c:v>21</c:v>
                </c:pt>
                <c:pt idx="8">
                  <c:v>47</c:v>
                </c:pt>
                <c:pt idx="9">
                  <c:v>116</c:v>
                </c:pt>
                <c:pt idx="10">
                  <c:v>231</c:v>
                </c:pt>
                <c:pt idx="11">
                  <c:v>294</c:v>
                </c:pt>
              </c:numCache>
            </c:numRef>
          </c:val>
          <c:smooth val="0"/>
          <c:extLst>
            <c:ext xmlns:c16="http://schemas.microsoft.com/office/drawing/2014/chart" uri="{C3380CC4-5D6E-409C-BE32-E72D297353CC}">
              <c16:uniqueId val="{00000003-BF26-4E3E-BCAD-1F3C3608AE2E}"/>
            </c:ext>
          </c:extLst>
        </c:ser>
        <c:ser>
          <c:idx val="4"/>
          <c:order val="4"/>
          <c:tx>
            <c:v>Y-1</c:v>
          </c:tx>
          <c:spPr>
            <a:ln w="20000">
              <a:solidFill>
                <a:srgbClr val="2E75B6"/>
              </a:solidFill>
              <a:prstDash val="solid"/>
            </a:ln>
          </c:spPr>
          <c:marker>
            <c:symbol val="none"/>
          </c:marker>
          <c:cat>
            <c:strRef>
              <c:f>Données!$A$21:$A$32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Données!$F$21:$F$32</c:f>
              <c:numCache>
                <c:formatCode>#,##0.0</c:formatCode>
                <c:ptCount val="12"/>
                <c:pt idx="0">
                  <c:v>61</c:v>
                </c:pt>
                <c:pt idx="1">
                  <c:v>39</c:v>
                </c:pt>
                <c:pt idx="2">
                  <c:v>27</c:v>
                </c:pt>
                <c:pt idx="3">
                  <c:v>22</c:v>
                </c:pt>
                <c:pt idx="4">
                  <c:v>20</c:v>
                </c:pt>
                <c:pt idx="5">
                  <c:v>17</c:v>
                </c:pt>
                <c:pt idx="6">
                  <c:v>17</c:v>
                </c:pt>
                <c:pt idx="7">
                  <c:v>22</c:v>
                </c:pt>
                <c:pt idx="8">
                  <c:v>50</c:v>
                </c:pt>
                <c:pt idx="9">
                  <c:v>122</c:v>
                </c:pt>
                <c:pt idx="10">
                  <c:v>243</c:v>
                </c:pt>
                <c:pt idx="11">
                  <c:v>309</c:v>
                </c:pt>
              </c:numCache>
            </c:numRef>
          </c:val>
          <c:smooth val="0"/>
          <c:extLst>
            <c:ext xmlns:c16="http://schemas.microsoft.com/office/drawing/2014/chart" uri="{C3380CC4-5D6E-409C-BE32-E72D297353CC}">
              <c16:uniqueId val="{00000004-BF26-4E3E-BCAD-1F3C3608AE2E}"/>
            </c:ext>
          </c:extLst>
        </c:ser>
        <c:ser>
          <c:idx val="5"/>
          <c:order val="5"/>
          <c:tx>
            <c:v>Prévision Y (Combinée)</c:v>
          </c:tx>
          <c:spPr>
            <a:ln w="20000">
              <a:solidFill>
                <a:srgbClr val="1B8A3A"/>
              </a:solidFill>
              <a:prstDash val="solid"/>
            </a:ln>
          </c:spPr>
          <c:marker>
            <c:symbol val="none"/>
          </c:marker>
          <c:cat>
            <c:strRef>
              <c:f>Données!$A$21:$A$32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Combinée!$W$39:$W$50</c:f>
              <c:numCache>
                <c:formatCode>#,##0.0</c:formatCode>
                <c:ptCount val="12"/>
                <c:pt idx="0">
                  <c:v>61.311224489795919</c:v>
                </c:pt>
                <c:pt idx="1">
                  <c:v>39.242078386548023</c:v>
                </c:pt>
                <c:pt idx="2">
                  <c:v>27.16759272914863</c:v>
                </c:pt>
                <c:pt idx="3">
                  <c:v>29.783731288251833</c:v>
                </c:pt>
                <c:pt idx="4">
                  <c:v>20.124142762332319</c:v>
                </c:pt>
                <c:pt idx="5">
                  <c:v>18.81607348278072</c:v>
                </c:pt>
                <c:pt idx="6">
                  <c:v>17.105521347982471</c:v>
                </c:pt>
                <c:pt idx="7">
                  <c:v>22.136557038565552</c:v>
                </c:pt>
                <c:pt idx="8">
                  <c:v>50.310356905830801</c:v>
                </c:pt>
                <c:pt idx="9">
                  <c:v>122.58101350809685</c:v>
                </c:pt>
                <c:pt idx="10">
                  <c:v>292.98871753246755</c:v>
                </c:pt>
                <c:pt idx="11">
                  <c:v>310.47158339345839</c:v>
                </c:pt>
              </c:numCache>
            </c:numRef>
          </c:val>
          <c:smooth val="0"/>
          <c:extLst>
            <c:ext xmlns:c16="http://schemas.microsoft.com/office/drawing/2014/chart" uri="{C3380CC4-5D6E-409C-BE32-E72D297353CC}">
              <c16:uniqueId val="{00000005-BF26-4E3E-BCAD-1F3C3608AE2E}"/>
            </c:ext>
          </c:extLst>
        </c:ser>
        <c:ser>
          <c:idx val="6"/>
          <c:order val="6"/>
          <c:tx>
            <c:v>Prévision Y (Simplifiée)</c:v>
          </c:tx>
          <c:spPr>
            <a:ln w="20000">
              <a:solidFill>
                <a:srgbClr val="E67E22"/>
              </a:solidFill>
              <a:prstDash val="solid"/>
            </a:ln>
          </c:spPr>
          <c:marker>
            <c:symbol val="none"/>
          </c:marker>
          <c:cat>
            <c:strRef>
              <c:f>Données!$A$21:$A$32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Simplifiée!$E$25:$E$36</c:f>
              <c:numCache>
                <c:formatCode>#,##0.0</c:formatCode>
                <c:ptCount val="12"/>
                <c:pt idx="0">
                  <c:v>64.206802507836997</c:v>
                </c:pt>
                <c:pt idx="1">
                  <c:v>41.1442471042471</c:v>
                </c:pt>
                <c:pt idx="2">
                  <c:v>28.050923076923073</c:v>
                </c:pt>
                <c:pt idx="3">
                  <c:v>32.932503698108455</c:v>
                </c:pt>
                <c:pt idx="4">
                  <c:v>21.070175438596493</c:v>
                </c:pt>
                <c:pt idx="5">
                  <c:v>19.892125</c:v>
                </c:pt>
                <c:pt idx="6">
                  <c:v>18.083749999999998</c:v>
                </c:pt>
                <c:pt idx="7">
                  <c:v>23.063333333333333</c:v>
                </c:pt>
                <c:pt idx="8">
                  <c:v>52.900709219858157</c:v>
                </c:pt>
                <c:pt idx="9">
                  <c:v>128.41360501567399</c:v>
                </c:pt>
                <c:pt idx="10">
                  <c:v>306.57763636363632</c:v>
                </c:pt>
                <c:pt idx="11">
                  <c:v>324.67071428571427</c:v>
                </c:pt>
              </c:numCache>
            </c:numRef>
          </c:val>
          <c:smooth val="0"/>
          <c:extLst>
            <c:ext xmlns:c16="http://schemas.microsoft.com/office/drawing/2014/chart" uri="{C3380CC4-5D6E-409C-BE32-E72D297353CC}">
              <c16:uniqueId val="{00000006-BF26-4E3E-BCAD-1F3C3608AE2E}"/>
            </c:ext>
          </c:extLst>
        </c:ser>
        <c:ser>
          <c:idx val="7"/>
          <c:order val="7"/>
          <c:tx>
            <c:v>Réel Y</c:v>
          </c:tx>
          <c:spPr>
            <a:ln w="20000">
              <a:solidFill>
                <a:srgbClr val="2C3E50"/>
              </a:solidFill>
              <a:prstDash val="solid"/>
            </a:ln>
          </c:spPr>
          <c:marker>
            <c:symbol val="circle"/>
            <c:size val="6"/>
            <c:spPr>
              <a:solidFill>
                <a:srgbClr val="2C3E50"/>
              </a:solidFill>
              <a:ln>
                <a:solidFill>
                  <a:srgbClr val="2C3E50"/>
                </a:solidFill>
                <a:prstDash val="solid"/>
              </a:ln>
            </c:spPr>
          </c:marker>
          <c:cat>
            <c:strRef>
              <c:f>Données!$A$21:$A$32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Combinée!$AI$39:$AI$50</c:f>
              <c:numCache>
                <c:formatCode>#,##0.0</c:formatCode>
                <c:ptCount val="12"/>
              </c:numCache>
            </c:numRef>
          </c:val>
          <c:smooth val="0"/>
          <c:extLst>
            <c:ext xmlns:c16="http://schemas.microsoft.com/office/drawing/2014/chart" uri="{C3380CC4-5D6E-409C-BE32-E72D297353CC}">
              <c16:uniqueId val="{00000007-BF26-4E3E-BCAD-1F3C3608AE2E}"/>
            </c:ext>
          </c:extLst>
        </c:ser>
        <c:ser>
          <c:idx val="8"/>
          <c:order val="8"/>
          <c:tx>
            <c:v>Commandes Y</c:v>
          </c:tx>
          <c:spPr>
            <a:ln w="20000">
              <a:solidFill>
                <a:srgbClr val="117A65"/>
              </a:solidFill>
              <a:prstDash val="solid"/>
            </a:ln>
          </c:spPr>
          <c:marker>
            <c:symbol val="circle"/>
            <c:size val="6"/>
            <c:spPr>
              <a:solidFill>
                <a:srgbClr val="117A65"/>
              </a:solidFill>
              <a:ln>
                <a:solidFill>
                  <a:srgbClr val="117A65"/>
                </a:solidFill>
                <a:prstDash val="solid"/>
              </a:ln>
            </c:spPr>
          </c:marker>
          <c:cat>
            <c:strRef>
              <c:f>Données!$A$21:$A$32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Combinée!$AN$39:$AN$50</c:f>
              <c:numCache>
                <c:formatCode>#,##0.0</c:formatCode>
                <c:ptCount val="12"/>
              </c:numCache>
            </c:numRef>
          </c:val>
          <c:smooth val="0"/>
          <c:extLst>
            <c:ext xmlns:c16="http://schemas.microsoft.com/office/drawing/2014/chart" uri="{C3380CC4-5D6E-409C-BE32-E72D297353CC}">
              <c16:uniqueId val="{00000008-BF26-4E3E-BCAD-1F3C3608AE2E}"/>
            </c:ext>
          </c:extLst>
        </c:ser>
        <c:dLbls>
          <c:showLegendKey val="0"/>
          <c:showVal val="0"/>
          <c:showCatName val="0"/>
          <c:showSerName val="0"/>
          <c:showPercent val="0"/>
          <c:showBubbleSize val="0"/>
        </c:dLbls>
        <c:smooth val="0"/>
        <c:axId val="10"/>
        <c:axId val="100"/>
      </c:lineChart>
      <c:catAx>
        <c:axId val="10"/>
        <c:scaling>
          <c:orientation val="minMax"/>
        </c:scaling>
        <c:delete val="1"/>
        <c:axPos val="b"/>
        <c:title>
          <c:tx>
            <c:rich>
              <a:bodyPr/>
              <a:lstStyle/>
              <a:p>
                <a:pPr>
                  <a:defRPr/>
                </a:pPr>
                <a:r>
                  <a:t>Mois</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t>Ventes</a:t>
                </a:r>
              </a:p>
            </c:rich>
          </c:tx>
          <c:overlay val="1"/>
        </c:title>
        <c:numFmt formatCode="#,##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Produit C — Historique, Prévision, Réel, Commandes</a:t>
            </a:r>
          </a:p>
        </c:rich>
      </c:tx>
      <c:overlay val="1"/>
    </c:title>
    <c:autoTitleDeleted val="0"/>
    <c:plotArea>
      <c:layout/>
      <c:lineChart>
        <c:grouping val="standard"/>
        <c:varyColors val="1"/>
        <c:ser>
          <c:idx val="0"/>
          <c:order val="0"/>
          <c:tx>
            <c:v>Y-5</c:v>
          </c:tx>
          <c:spPr>
            <a:ln w="20000">
              <a:solidFill>
                <a:srgbClr val="BFD7ED"/>
              </a:solidFill>
              <a:prstDash val="solid"/>
            </a:ln>
          </c:spPr>
          <c:marker>
            <c:symbol val="none"/>
          </c:marker>
          <c:cat>
            <c:strRef>
              <c:f>Données!$A$36:$A$47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Données!$B$36:$B$47</c:f>
              <c:numCache>
                <c:formatCode>#,##0.0</c:formatCode>
                <c:ptCount val="12"/>
                <c:pt idx="0">
                  <c:v>97</c:v>
                </c:pt>
                <c:pt idx="1">
                  <c:v>99</c:v>
                </c:pt>
                <c:pt idx="2">
                  <c:v>101</c:v>
                </c:pt>
                <c:pt idx="3">
                  <c:v>103</c:v>
                </c:pt>
                <c:pt idx="4">
                  <c:v>100</c:v>
                </c:pt>
                <c:pt idx="5">
                  <c:v>98</c:v>
                </c:pt>
                <c:pt idx="6">
                  <c:v>102</c:v>
                </c:pt>
                <c:pt idx="7">
                  <c:v>104</c:v>
                </c:pt>
                <c:pt idx="8">
                  <c:v>99</c:v>
                </c:pt>
                <c:pt idx="9">
                  <c:v>101</c:v>
                </c:pt>
                <c:pt idx="10">
                  <c:v>98</c:v>
                </c:pt>
                <c:pt idx="11">
                  <c:v>100</c:v>
                </c:pt>
              </c:numCache>
            </c:numRef>
          </c:val>
          <c:smooth val="0"/>
          <c:extLst>
            <c:ext xmlns:c16="http://schemas.microsoft.com/office/drawing/2014/chart" uri="{C3380CC4-5D6E-409C-BE32-E72D297353CC}">
              <c16:uniqueId val="{00000000-AA97-4BFF-8F83-5D0CF84FC78D}"/>
            </c:ext>
          </c:extLst>
        </c:ser>
        <c:ser>
          <c:idx val="1"/>
          <c:order val="1"/>
          <c:tx>
            <c:v>Y-4</c:v>
          </c:tx>
          <c:spPr>
            <a:ln w="20000">
              <a:solidFill>
                <a:srgbClr val="9CC3E0"/>
              </a:solidFill>
              <a:prstDash val="solid"/>
            </a:ln>
          </c:spPr>
          <c:marker>
            <c:symbol val="none"/>
          </c:marker>
          <c:cat>
            <c:strRef>
              <c:f>Données!$A$36:$A$47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Données!$C$36:$C$47</c:f>
              <c:numCache>
                <c:formatCode>#,##0.0</c:formatCode>
                <c:ptCount val="12"/>
                <c:pt idx="0">
                  <c:v>98</c:v>
                </c:pt>
                <c:pt idx="1">
                  <c:v>100</c:v>
                </c:pt>
                <c:pt idx="2">
                  <c:v>102</c:v>
                </c:pt>
                <c:pt idx="3">
                  <c:v>104</c:v>
                </c:pt>
                <c:pt idx="4">
                  <c:v>101</c:v>
                </c:pt>
                <c:pt idx="5">
                  <c:v>99</c:v>
                </c:pt>
                <c:pt idx="6">
                  <c:v>103</c:v>
                </c:pt>
                <c:pt idx="7">
                  <c:v>105</c:v>
                </c:pt>
                <c:pt idx="8">
                  <c:v>100</c:v>
                </c:pt>
                <c:pt idx="9">
                  <c:v>102</c:v>
                </c:pt>
                <c:pt idx="10">
                  <c:v>99</c:v>
                </c:pt>
                <c:pt idx="11">
                  <c:v>101</c:v>
                </c:pt>
              </c:numCache>
            </c:numRef>
          </c:val>
          <c:smooth val="0"/>
          <c:extLst>
            <c:ext xmlns:c16="http://schemas.microsoft.com/office/drawing/2014/chart" uri="{C3380CC4-5D6E-409C-BE32-E72D297353CC}">
              <c16:uniqueId val="{00000001-AA97-4BFF-8F83-5D0CF84FC78D}"/>
            </c:ext>
          </c:extLst>
        </c:ser>
        <c:ser>
          <c:idx val="2"/>
          <c:order val="2"/>
          <c:tx>
            <c:v>Y-3</c:v>
          </c:tx>
          <c:spPr>
            <a:ln w="20000">
              <a:solidFill>
                <a:srgbClr val="78AFD3"/>
              </a:solidFill>
              <a:prstDash val="solid"/>
            </a:ln>
          </c:spPr>
          <c:marker>
            <c:symbol val="none"/>
          </c:marker>
          <c:cat>
            <c:strRef>
              <c:f>Données!$A$36:$A$47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Données!$D$36:$D$47</c:f>
              <c:numCache>
                <c:formatCode>#,##0.0</c:formatCode>
                <c:ptCount val="12"/>
                <c:pt idx="0">
                  <c:v>99</c:v>
                </c:pt>
                <c:pt idx="1">
                  <c:v>101</c:v>
                </c:pt>
                <c:pt idx="2">
                  <c:v>103</c:v>
                </c:pt>
                <c:pt idx="3">
                  <c:v>105</c:v>
                </c:pt>
                <c:pt idx="4">
                  <c:v>102</c:v>
                </c:pt>
                <c:pt idx="5">
                  <c:v>100</c:v>
                </c:pt>
                <c:pt idx="6">
                  <c:v>104</c:v>
                </c:pt>
                <c:pt idx="7">
                  <c:v>106</c:v>
                </c:pt>
                <c:pt idx="8">
                  <c:v>101</c:v>
                </c:pt>
                <c:pt idx="9">
                  <c:v>103</c:v>
                </c:pt>
                <c:pt idx="10">
                  <c:v>100</c:v>
                </c:pt>
                <c:pt idx="11">
                  <c:v>102</c:v>
                </c:pt>
              </c:numCache>
            </c:numRef>
          </c:val>
          <c:smooth val="0"/>
          <c:extLst>
            <c:ext xmlns:c16="http://schemas.microsoft.com/office/drawing/2014/chart" uri="{C3380CC4-5D6E-409C-BE32-E72D297353CC}">
              <c16:uniqueId val="{00000002-AA97-4BFF-8F83-5D0CF84FC78D}"/>
            </c:ext>
          </c:extLst>
        </c:ser>
        <c:ser>
          <c:idx val="3"/>
          <c:order val="3"/>
          <c:tx>
            <c:v>Y-2</c:v>
          </c:tx>
          <c:spPr>
            <a:ln w="20000">
              <a:solidFill>
                <a:srgbClr val="558BC2"/>
              </a:solidFill>
              <a:prstDash val="solid"/>
            </a:ln>
          </c:spPr>
          <c:marker>
            <c:symbol val="none"/>
          </c:marker>
          <c:cat>
            <c:strRef>
              <c:f>Données!$A$36:$A$47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Données!$E$36:$E$47</c:f>
              <c:numCache>
                <c:formatCode>#,##0.0</c:formatCode>
                <c:ptCount val="12"/>
                <c:pt idx="0">
                  <c:v>114</c:v>
                </c:pt>
                <c:pt idx="1">
                  <c:v>116</c:v>
                </c:pt>
                <c:pt idx="2">
                  <c:v>118</c:v>
                </c:pt>
                <c:pt idx="3">
                  <c:v>121</c:v>
                </c:pt>
                <c:pt idx="4">
                  <c:v>117</c:v>
                </c:pt>
                <c:pt idx="5">
                  <c:v>115</c:v>
                </c:pt>
                <c:pt idx="6">
                  <c:v>120</c:v>
                </c:pt>
                <c:pt idx="7">
                  <c:v>122</c:v>
                </c:pt>
                <c:pt idx="8">
                  <c:v>116</c:v>
                </c:pt>
                <c:pt idx="9">
                  <c:v>118</c:v>
                </c:pt>
                <c:pt idx="10">
                  <c:v>115</c:v>
                </c:pt>
                <c:pt idx="11">
                  <c:v>117</c:v>
                </c:pt>
              </c:numCache>
            </c:numRef>
          </c:val>
          <c:smooth val="0"/>
          <c:extLst>
            <c:ext xmlns:c16="http://schemas.microsoft.com/office/drawing/2014/chart" uri="{C3380CC4-5D6E-409C-BE32-E72D297353CC}">
              <c16:uniqueId val="{00000003-AA97-4BFF-8F83-5D0CF84FC78D}"/>
            </c:ext>
          </c:extLst>
        </c:ser>
        <c:ser>
          <c:idx val="4"/>
          <c:order val="4"/>
          <c:tx>
            <c:v>Y-1</c:v>
          </c:tx>
          <c:spPr>
            <a:ln w="20000">
              <a:solidFill>
                <a:srgbClr val="2E75B6"/>
              </a:solidFill>
              <a:prstDash val="solid"/>
            </a:ln>
          </c:spPr>
          <c:marker>
            <c:symbol val="none"/>
          </c:marker>
          <c:cat>
            <c:strRef>
              <c:f>Données!$A$36:$A$47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Données!$F$36:$F$47</c:f>
              <c:numCache>
                <c:formatCode>#,##0.0</c:formatCode>
                <c:ptCount val="12"/>
                <c:pt idx="0">
                  <c:v>131</c:v>
                </c:pt>
                <c:pt idx="1">
                  <c:v>133</c:v>
                </c:pt>
                <c:pt idx="2">
                  <c:v>136</c:v>
                </c:pt>
                <c:pt idx="3">
                  <c:v>139</c:v>
                </c:pt>
                <c:pt idx="4">
                  <c:v>135</c:v>
                </c:pt>
                <c:pt idx="5">
                  <c:v>132</c:v>
                </c:pt>
                <c:pt idx="6">
                  <c:v>138</c:v>
                </c:pt>
                <c:pt idx="7">
                  <c:v>140</c:v>
                </c:pt>
                <c:pt idx="8">
                  <c:v>133</c:v>
                </c:pt>
                <c:pt idx="9">
                  <c:v>136</c:v>
                </c:pt>
                <c:pt idx="10">
                  <c:v>132</c:v>
                </c:pt>
                <c:pt idx="11">
                  <c:v>135</c:v>
                </c:pt>
              </c:numCache>
            </c:numRef>
          </c:val>
          <c:smooth val="0"/>
          <c:extLst>
            <c:ext xmlns:c16="http://schemas.microsoft.com/office/drawing/2014/chart" uri="{C3380CC4-5D6E-409C-BE32-E72D297353CC}">
              <c16:uniqueId val="{00000004-AA97-4BFF-8F83-5D0CF84FC78D}"/>
            </c:ext>
          </c:extLst>
        </c:ser>
        <c:ser>
          <c:idx val="5"/>
          <c:order val="5"/>
          <c:tx>
            <c:v>Prévision Y (Combinée)</c:v>
          </c:tx>
          <c:spPr>
            <a:ln w="20000">
              <a:solidFill>
                <a:srgbClr val="1B8A3A"/>
              </a:solidFill>
              <a:prstDash val="solid"/>
            </a:ln>
          </c:spPr>
          <c:marker>
            <c:symbol val="none"/>
          </c:marker>
          <c:cat>
            <c:strRef>
              <c:f>Données!$A$36:$A$47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Combinée!$W$56:$W$67</c:f>
              <c:numCache>
                <c:formatCode>#,##0.0</c:formatCode>
                <c:ptCount val="12"/>
                <c:pt idx="0">
                  <c:v>132.48286268994826</c:v>
                </c:pt>
                <c:pt idx="1">
                  <c:v>134.50550181498565</c:v>
                </c:pt>
                <c:pt idx="2">
                  <c:v>137.53946050254171</c:v>
                </c:pt>
                <c:pt idx="3">
                  <c:v>140.57341919009778</c:v>
                </c:pt>
                <c:pt idx="4">
                  <c:v>136.52814094002301</c:v>
                </c:pt>
                <c:pt idx="5">
                  <c:v>133.49418225246694</c:v>
                </c:pt>
                <c:pt idx="6">
                  <c:v>139.5620996275791</c:v>
                </c:pt>
                <c:pt idx="7">
                  <c:v>141.58473875261646</c:v>
                </c:pt>
                <c:pt idx="8">
                  <c:v>134.50550181498565</c:v>
                </c:pt>
                <c:pt idx="9">
                  <c:v>137.53946050254171</c:v>
                </c:pt>
                <c:pt idx="10">
                  <c:v>133.49418225246694</c:v>
                </c:pt>
                <c:pt idx="11">
                  <c:v>136.52814094002301</c:v>
                </c:pt>
              </c:numCache>
            </c:numRef>
          </c:val>
          <c:smooth val="0"/>
          <c:extLst>
            <c:ext xmlns:c16="http://schemas.microsoft.com/office/drawing/2014/chart" uri="{C3380CC4-5D6E-409C-BE32-E72D297353CC}">
              <c16:uniqueId val="{00000005-AA97-4BFF-8F83-5D0CF84FC78D}"/>
            </c:ext>
          </c:extLst>
        </c:ser>
        <c:ser>
          <c:idx val="6"/>
          <c:order val="6"/>
          <c:tx>
            <c:v>Prévision Y (Simplifiée)</c:v>
          </c:tx>
          <c:spPr>
            <a:ln w="20000">
              <a:solidFill>
                <a:srgbClr val="E67E22"/>
              </a:solidFill>
              <a:prstDash val="solid"/>
            </a:ln>
          </c:spPr>
          <c:marker>
            <c:symbol val="none"/>
          </c:marker>
          <c:cat>
            <c:strRef>
              <c:f>Données!$A$36:$A$47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Simplifiée!$I$43:$I$54</c:f>
              <c:numCache>
                <c:formatCode>#,##0.0</c:formatCode>
                <c:ptCount val="12"/>
                <c:pt idx="0">
                  <c:v>150.62910685805423</c:v>
                </c:pt>
                <c:pt idx="1">
                  <c:v>152.56970809149882</c:v>
                </c:pt>
                <c:pt idx="2">
                  <c:v>156.46378147112063</c:v>
                </c:pt>
                <c:pt idx="3">
                  <c:v>159.82866587957497</c:v>
                </c:pt>
                <c:pt idx="4">
                  <c:v>155.49434389140274</c:v>
                </c:pt>
                <c:pt idx="5">
                  <c:v>151.59913043478264</c:v>
                </c:pt>
                <c:pt idx="6">
                  <c:v>158.85923076923078</c:v>
                </c:pt>
                <c:pt idx="7">
                  <c:v>160.79863903495206</c:v>
                </c:pt>
                <c:pt idx="8">
                  <c:v>152.56970809149882</c:v>
                </c:pt>
                <c:pt idx="9">
                  <c:v>156.46378147112063</c:v>
                </c:pt>
                <c:pt idx="10">
                  <c:v>151.59913043478264</c:v>
                </c:pt>
                <c:pt idx="11">
                  <c:v>155.49434389140274</c:v>
                </c:pt>
              </c:numCache>
            </c:numRef>
          </c:val>
          <c:smooth val="0"/>
          <c:extLst>
            <c:ext xmlns:c16="http://schemas.microsoft.com/office/drawing/2014/chart" uri="{C3380CC4-5D6E-409C-BE32-E72D297353CC}">
              <c16:uniqueId val="{00000006-AA97-4BFF-8F83-5D0CF84FC78D}"/>
            </c:ext>
          </c:extLst>
        </c:ser>
        <c:ser>
          <c:idx val="7"/>
          <c:order val="7"/>
          <c:tx>
            <c:v>Réel Y</c:v>
          </c:tx>
          <c:spPr>
            <a:ln w="20000">
              <a:solidFill>
                <a:srgbClr val="2C3E50"/>
              </a:solidFill>
              <a:prstDash val="solid"/>
            </a:ln>
          </c:spPr>
          <c:marker>
            <c:symbol val="circle"/>
            <c:size val="6"/>
            <c:spPr>
              <a:solidFill>
                <a:srgbClr val="2C3E50"/>
              </a:solidFill>
              <a:ln>
                <a:solidFill>
                  <a:srgbClr val="2C3E50"/>
                </a:solidFill>
                <a:prstDash val="solid"/>
              </a:ln>
            </c:spPr>
          </c:marker>
          <c:cat>
            <c:strRef>
              <c:f>Données!$A$36:$A$47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Combinée!$AI$56:$AI$67</c:f>
              <c:numCache>
                <c:formatCode>#,##0.0</c:formatCode>
                <c:ptCount val="12"/>
              </c:numCache>
            </c:numRef>
          </c:val>
          <c:smooth val="0"/>
          <c:extLst>
            <c:ext xmlns:c16="http://schemas.microsoft.com/office/drawing/2014/chart" uri="{C3380CC4-5D6E-409C-BE32-E72D297353CC}">
              <c16:uniqueId val="{00000007-AA97-4BFF-8F83-5D0CF84FC78D}"/>
            </c:ext>
          </c:extLst>
        </c:ser>
        <c:ser>
          <c:idx val="8"/>
          <c:order val="8"/>
          <c:tx>
            <c:v>Commandes Y</c:v>
          </c:tx>
          <c:spPr>
            <a:ln w="20000">
              <a:solidFill>
                <a:srgbClr val="117A65"/>
              </a:solidFill>
              <a:prstDash val="solid"/>
            </a:ln>
          </c:spPr>
          <c:marker>
            <c:symbol val="circle"/>
            <c:size val="6"/>
            <c:spPr>
              <a:solidFill>
                <a:srgbClr val="117A65"/>
              </a:solidFill>
              <a:ln>
                <a:solidFill>
                  <a:srgbClr val="117A65"/>
                </a:solidFill>
                <a:prstDash val="solid"/>
              </a:ln>
            </c:spPr>
          </c:marker>
          <c:cat>
            <c:strRef>
              <c:f>Données!$A$36:$A$47</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Combinée!$AN$56:$AN$67</c:f>
              <c:numCache>
                <c:formatCode>#,##0.0</c:formatCode>
                <c:ptCount val="12"/>
              </c:numCache>
            </c:numRef>
          </c:val>
          <c:smooth val="0"/>
          <c:extLst>
            <c:ext xmlns:c16="http://schemas.microsoft.com/office/drawing/2014/chart" uri="{C3380CC4-5D6E-409C-BE32-E72D297353CC}">
              <c16:uniqueId val="{00000008-AA97-4BFF-8F83-5D0CF84FC78D}"/>
            </c:ext>
          </c:extLst>
        </c:ser>
        <c:dLbls>
          <c:showLegendKey val="0"/>
          <c:showVal val="0"/>
          <c:showCatName val="0"/>
          <c:showSerName val="0"/>
          <c:showPercent val="0"/>
          <c:showBubbleSize val="0"/>
        </c:dLbls>
        <c:smooth val="0"/>
        <c:axId val="10"/>
        <c:axId val="100"/>
      </c:lineChart>
      <c:catAx>
        <c:axId val="10"/>
        <c:scaling>
          <c:orientation val="minMax"/>
        </c:scaling>
        <c:delete val="1"/>
        <c:axPos val="b"/>
        <c:title>
          <c:tx>
            <c:rich>
              <a:bodyPr/>
              <a:lstStyle/>
              <a:p>
                <a:pPr>
                  <a:defRPr/>
                </a:pPr>
                <a:r>
                  <a:t>Mois</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t>Ventes</a:t>
                </a:r>
              </a:p>
            </c:rich>
          </c:tx>
          <c:overlay val="1"/>
        </c:title>
        <c:numFmt formatCode="#,##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Produit D — Historique, Prévision, Réel, Commandes</a:t>
            </a:r>
          </a:p>
        </c:rich>
      </c:tx>
      <c:overlay val="1"/>
    </c:title>
    <c:autoTitleDeleted val="0"/>
    <c:plotArea>
      <c:layout/>
      <c:lineChart>
        <c:grouping val="standard"/>
        <c:varyColors val="1"/>
        <c:ser>
          <c:idx val="0"/>
          <c:order val="0"/>
          <c:tx>
            <c:v>Y-5</c:v>
          </c:tx>
          <c:spPr>
            <a:ln w="20000">
              <a:solidFill>
                <a:srgbClr val="BFD7ED"/>
              </a:solidFill>
              <a:prstDash val="solid"/>
            </a:ln>
          </c:spPr>
          <c:marker>
            <c:symbol val="none"/>
          </c:marker>
          <c:cat>
            <c:strRef>
              <c:f>Données!$A$51:$A$62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Données!$B$51:$B$62</c:f>
              <c:numCache>
                <c:formatCode>#,##0.0</c:formatCode>
                <c:ptCount val="12"/>
                <c:pt idx="0">
                  <c:v>97</c:v>
                </c:pt>
                <c:pt idx="1">
                  <c:v>99</c:v>
                </c:pt>
                <c:pt idx="2">
                  <c:v>101</c:v>
                </c:pt>
                <c:pt idx="3">
                  <c:v>103</c:v>
                </c:pt>
                <c:pt idx="4">
                  <c:v>100</c:v>
                </c:pt>
                <c:pt idx="5">
                  <c:v>98</c:v>
                </c:pt>
                <c:pt idx="6">
                  <c:v>102</c:v>
                </c:pt>
                <c:pt idx="7">
                  <c:v>104</c:v>
                </c:pt>
                <c:pt idx="8">
                  <c:v>99</c:v>
                </c:pt>
                <c:pt idx="9">
                  <c:v>101</c:v>
                </c:pt>
                <c:pt idx="10">
                  <c:v>98</c:v>
                </c:pt>
                <c:pt idx="11">
                  <c:v>100</c:v>
                </c:pt>
              </c:numCache>
            </c:numRef>
          </c:val>
          <c:smooth val="0"/>
          <c:extLst>
            <c:ext xmlns:c16="http://schemas.microsoft.com/office/drawing/2014/chart" uri="{C3380CC4-5D6E-409C-BE32-E72D297353CC}">
              <c16:uniqueId val="{00000000-B46E-433F-921E-2673040E4C6D}"/>
            </c:ext>
          </c:extLst>
        </c:ser>
        <c:ser>
          <c:idx val="1"/>
          <c:order val="1"/>
          <c:tx>
            <c:v>Y-4</c:v>
          </c:tx>
          <c:spPr>
            <a:ln w="20000">
              <a:solidFill>
                <a:srgbClr val="9CC3E0"/>
              </a:solidFill>
              <a:prstDash val="solid"/>
            </a:ln>
          </c:spPr>
          <c:marker>
            <c:symbol val="none"/>
          </c:marker>
          <c:cat>
            <c:strRef>
              <c:f>Données!$A$51:$A$62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Données!$C$51:$C$62</c:f>
              <c:numCache>
                <c:formatCode>#,##0.0</c:formatCode>
                <c:ptCount val="12"/>
                <c:pt idx="0">
                  <c:v>102</c:v>
                </c:pt>
                <c:pt idx="1">
                  <c:v>104</c:v>
                </c:pt>
                <c:pt idx="2">
                  <c:v>106</c:v>
                </c:pt>
                <c:pt idx="3">
                  <c:v>108</c:v>
                </c:pt>
                <c:pt idx="4">
                  <c:v>105</c:v>
                </c:pt>
                <c:pt idx="5">
                  <c:v>103</c:v>
                </c:pt>
                <c:pt idx="6">
                  <c:v>107</c:v>
                </c:pt>
                <c:pt idx="7">
                  <c:v>109</c:v>
                </c:pt>
                <c:pt idx="8">
                  <c:v>104</c:v>
                </c:pt>
                <c:pt idx="9">
                  <c:v>106</c:v>
                </c:pt>
                <c:pt idx="10">
                  <c:v>103</c:v>
                </c:pt>
                <c:pt idx="11">
                  <c:v>105</c:v>
                </c:pt>
              </c:numCache>
            </c:numRef>
          </c:val>
          <c:smooth val="0"/>
          <c:extLst>
            <c:ext xmlns:c16="http://schemas.microsoft.com/office/drawing/2014/chart" uri="{C3380CC4-5D6E-409C-BE32-E72D297353CC}">
              <c16:uniqueId val="{00000001-B46E-433F-921E-2673040E4C6D}"/>
            </c:ext>
          </c:extLst>
        </c:ser>
        <c:ser>
          <c:idx val="2"/>
          <c:order val="2"/>
          <c:tx>
            <c:v>Y-3</c:v>
          </c:tx>
          <c:spPr>
            <a:ln w="20000">
              <a:solidFill>
                <a:srgbClr val="78AFD3"/>
              </a:solidFill>
              <a:prstDash val="solid"/>
            </a:ln>
          </c:spPr>
          <c:marker>
            <c:symbol val="none"/>
          </c:marker>
          <c:cat>
            <c:strRef>
              <c:f>Données!$A$51:$A$62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Données!$D$51:$D$62</c:f>
              <c:numCache>
                <c:formatCode>#,##0.0</c:formatCode>
                <c:ptCount val="12"/>
                <c:pt idx="0">
                  <c:v>107</c:v>
                </c:pt>
                <c:pt idx="1">
                  <c:v>109</c:v>
                </c:pt>
                <c:pt idx="2">
                  <c:v>111</c:v>
                </c:pt>
                <c:pt idx="3">
                  <c:v>113</c:v>
                </c:pt>
                <c:pt idx="4">
                  <c:v>110</c:v>
                </c:pt>
                <c:pt idx="5">
                  <c:v>108</c:v>
                </c:pt>
                <c:pt idx="6">
                  <c:v>112</c:v>
                </c:pt>
                <c:pt idx="7">
                  <c:v>114</c:v>
                </c:pt>
                <c:pt idx="8">
                  <c:v>109</c:v>
                </c:pt>
                <c:pt idx="9">
                  <c:v>111</c:v>
                </c:pt>
                <c:pt idx="10">
                  <c:v>108</c:v>
                </c:pt>
                <c:pt idx="11">
                  <c:v>110</c:v>
                </c:pt>
              </c:numCache>
            </c:numRef>
          </c:val>
          <c:smooth val="0"/>
          <c:extLst>
            <c:ext xmlns:c16="http://schemas.microsoft.com/office/drawing/2014/chart" uri="{C3380CC4-5D6E-409C-BE32-E72D297353CC}">
              <c16:uniqueId val="{00000002-B46E-433F-921E-2673040E4C6D}"/>
            </c:ext>
          </c:extLst>
        </c:ser>
        <c:ser>
          <c:idx val="3"/>
          <c:order val="3"/>
          <c:tx>
            <c:v>Y-2</c:v>
          </c:tx>
          <c:spPr>
            <a:ln w="20000">
              <a:solidFill>
                <a:srgbClr val="558BC2"/>
              </a:solidFill>
              <a:prstDash val="solid"/>
            </a:ln>
          </c:spPr>
          <c:marker>
            <c:symbol val="none"/>
          </c:marker>
          <c:cat>
            <c:strRef>
              <c:f>Données!$A$51:$A$62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Données!$E$51:$E$62</c:f>
              <c:numCache>
                <c:formatCode>#,##0.0</c:formatCode>
                <c:ptCount val="12"/>
                <c:pt idx="0">
                  <c:v>112</c:v>
                </c:pt>
                <c:pt idx="1">
                  <c:v>114</c:v>
                </c:pt>
                <c:pt idx="2">
                  <c:v>117</c:v>
                </c:pt>
                <c:pt idx="3">
                  <c:v>119</c:v>
                </c:pt>
                <c:pt idx="4">
                  <c:v>116</c:v>
                </c:pt>
                <c:pt idx="5">
                  <c:v>113</c:v>
                </c:pt>
                <c:pt idx="6">
                  <c:v>118</c:v>
                </c:pt>
                <c:pt idx="7">
                  <c:v>120</c:v>
                </c:pt>
                <c:pt idx="8">
                  <c:v>114</c:v>
                </c:pt>
                <c:pt idx="9">
                  <c:v>117</c:v>
                </c:pt>
                <c:pt idx="10">
                  <c:v>113</c:v>
                </c:pt>
                <c:pt idx="11">
                  <c:v>116</c:v>
                </c:pt>
              </c:numCache>
            </c:numRef>
          </c:val>
          <c:smooth val="0"/>
          <c:extLst>
            <c:ext xmlns:c16="http://schemas.microsoft.com/office/drawing/2014/chart" uri="{C3380CC4-5D6E-409C-BE32-E72D297353CC}">
              <c16:uniqueId val="{00000003-B46E-433F-921E-2673040E4C6D}"/>
            </c:ext>
          </c:extLst>
        </c:ser>
        <c:ser>
          <c:idx val="4"/>
          <c:order val="4"/>
          <c:tx>
            <c:v>Y-1</c:v>
          </c:tx>
          <c:spPr>
            <a:ln w="20000">
              <a:solidFill>
                <a:srgbClr val="2E75B6"/>
              </a:solidFill>
              <a:prstDash val="solid"/>
            </a:ln>
          </c:spPr>
          <c:marker>
            <c:symbol val="none"/>
          </c:marker>
          <c:cat>
            <c:strRef>
              <c:f>Données!$A$51:$A$62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Données!$F$51:$F$62</c:f>
              <c:numCache>
                <c:formatCode>#,##0.0</c:formatCode>
                <c:ptCount val="12"/>
                <c:pt idx="0">
                  <c:v>118</c:v>
                </c:pt>
                <c:pt idx="1">
                  <c:v>120</c:v>
                </c:pt>
                <c:pt idx="2">
                  <c:v>123</c:v>
                </c:pt>
                <c:pt idx="3">
                  <c:v>125</c:v>
                </c:pt>
                <c:pt idx="4">
                  <c:v>122</c:v>
                </c:pt>
                <c:pt idx="5">
                  <c:v>119</c:v>
                </c:pt>
                <c:pt idx="6">
                  <c:v>124</c:v>
                </c:pt>
                <c:pt idx="7">
                  <c:v>126</c:v>
                </c:pt>
                <c:pt idx="8">
                  <c:v>120</c:v>
                </c:pt>
                <c:pt idx="9">
                  <c:v>140</c:v>
                </c:pt>
                <c:pt idx="10">
                  <c:v>136</c:v>
                </c:pt>
                <c:pt idx="11">
                  <c:v>139</c:v>
                </c:pt>
              </c:numCache>
            </c:numRef>
          </c:val>
          <c:smooth val="0"/>
          <c:extLst>
            <c:ext xmlns:c16="http://schemas.microsoft.com/office/drawing/2014/chart" uri="{C3380CC4-5D6E-409C-BE32-E72D297353CC}">
              <c16:uniqueId val="{00000004-B46E-433F-921E-2673040E4C6D}"/>
            </c:ext>
          </c:extLst>
        </c:ser>
        <c:ser>
          <c:idx val="5"/>
          <c:order val="5"/>
          <c:tx>
            <c:v>Prévision Y (Combinée)</c:v>
          </c:tx>
          <c:spPr>
            <a:ln w="20000">
              <a:solidFill>
                <a:srgbClr val="1B8A3A"/>
              </a:solidFill>
              <a:prstDash val="solid"/>
            </a:ln>
          </c:spPr>
          <c:marker>
            <c:symbol val="none"/>
          </c:marker>
          <c:cat>
            <c:strRef>
              <c:f>Données!$A$51:$A$62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Combinée!$W$73:$W$84</c:f>
              <c:numCache>
                <c:formatCode>#,##0.0</c:formatCode>
                <c:ptCount val="12"/>
                <c:pt idx="0">
                  <c:v>118.87238270919106</c:v>
                </c:pt>
                <c:pt idx="1">
                  <c:v>120.88716885680446</c:v>
                </c:pt>
                <c:pt idx="2">
                  <c:v>123.90934807822457</c:v>
                </c:pt>
                <c:pt idx="3">
                  <c:v>125.92413422583797</c:v>
                </c:pt>
                <c:pt idx="4">
                  <c:v>122.90195500441787</c:v>
                </c:pt>
                <c:pt idx="5">
                  <c:v>119.87977578299775</c:v>
                </c:pt>
                <c:pt idx="6">
                  <c:v>124.91674115203128</c:v>
                </c:pt>
                <c:pt idx="7">
                  <c:v>126.93152729964469</c:v>
                </c:pt>
                <c:pt idx="8">
                  <c:v>120.88716885680446</c:v>
                </c:pt>
                <c:pt idx="9">
                  <c:v>141.03503033293853</c:v>
                </c:pt>
                <c:pt idx="10">
                  <c:v>137.00545803771172</c:v>
                </c:pt>
                <c:pt idx="11">
                  <c:v>140.02763725913184</c:v>
                </c:pt>
              </c:numCache>
            </c:numRef>
          </c:val>
          <c:smooth val="0"/>
          <c:extLst>
            <c:ext xmlns:c16="http://schemas.microsoft.com/office/drawing/2014/chart" uri="{C3380CC4-5D6E-409C-BE32-E72D297353CC}">
              <c16:uniqueId val="{00000005-B46E-433F-921E-2673040E4C6D}"/>
            </c:ext>
          </c:extLst>
        </c:ser>
        <c:ser>
          <c:idx val="6"/>
          <c:order val="6"/>
          <c:tx>
            <c:v>Prévision Y (Simplifiée)</c:v>
          </c:tx>
          <c:spPr>
            <a:ln w="20000">
              <a:solidFill>
                <a:srgbClr val="E67E22"/>
              </a:solidFill>
              <a:prstDash val="solid"/>
            </a:ln>
          </c:spPr>
          <c:marker>
            <c:symbol val="none"/>
          </c:marker>
          <c:cat>
            <c:strRef>
              <c:f>Données!$A$51:$A$62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Simplifiée!$I$61:$I$72</c:f>
              <c:numCache>
                <c:formatCode>#,##0.0</c:formatCode>
                <c:ptCount val="12"/>
                <c:pt idx="0">
                  <c:v>124.07920560747664</c:v>
                </c:pt>
                <c:pt idx="1">
                  <c:v>126.07242877836794</c:v>
                </c:pt>
                <c:pt idx="2">
                  <c:v>129.40997920997924</c:v>
                </c:pt>
                <c:pt idx="3">
                  <c:v>131.40291514836022</c:v>
                </c:pt>
                <c:pt idx="4">
                  <c:v>128.41360501567399</c:v>
                </c:pt>
                <c:pt idx="5">
                  <c:v>125.07578662733529</c:v>
                </c:pt>
                <c:pt idx="6">
                  <c:v>130.40641646489104</c:v>
                </c:pt>
                <c:pt idx="7">
                  <c:v>132.39947368421053</c:v>
                </c:pt>
                <c:pt idx="8">
                  <c:v>126.07242877836794</c:v>
                </c:pt>
                <c:pt idx="9">
                  <c:v>161.53522753522756</c:v>
                </c:pt>
                <c:pt idx="10">
                  <c:v>157.26588003933136</c:v>
                </c:pt>
                <c:pt idx="11">
                  <c:v>160.56678683385582</c:v>
                </c:pt>
              </c:numCache>
            </c:numRef>
          </c:val>
          <c:smooth val="0"/>
          <c:extLst>
            <c:ext xmlns:c16="http://schemas.microsoft.com/office/drawing/2014/chart" uri="{C3380CC4-5D6E-409C-BE32-E72D297353CC}">
              <c16:uniqueId val="{00000006-B46E-433F-921E-2673040E4C6D}"/>
            </c:ext>
          </c:extLst>
        </c:ser>
        <c:ser>
          <c:idx val="7"/>
          <c:order val="7"/>
          <c:tx>
            <c:v>Réel Y</c:v>
          </c:tx>
          <c:spPr>
            <a:ln w="20000">
              <a:solidFill>
                <a:srgbClr val="2C3E50"/>
              </a:solidFill>
              <a:prstDash val="solid"/>
            </a:ln>
          </c:spPr>
          <c:marker>
            <c:symbol val="circle"/>
            <c:size val="6"/>
            <c:spPr>
              <a:solidFill>
                <a:srgbClr val="2C3E50"/>
              </a:solidFill>
              <a:ln>
                <a:solidFill>
                  <a:srgbClr val="2C3E50"/>
                </a:solidFill>
                <a:prstDash val="solid"/>
              </a:ln>
            </c:spPr>
          </c:marker>
          <c:cat>
            <c:strRef>
              <c:f>Données!$A$51:$A$62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Combinée!$AI$73:$AI$84</c:f>
              <c:numCache>
                <c:formatCode>#,##0.0</c:formatCode>
                <c:ptCount val="12"/>
              </c:numCache>
            </c:numRef>
          </c:val>
          <c:smooth val="0"/>
          <c:extLst>
            <c:ext xmlns:c16="http://schemas.microsoft.com/office/drawing/2014/chart" uri="{C3380CC4-5D6E-409C-BE32-E72D297353CC}">
              <c16:uniqueId val="{00000007-B46E-433F-921E-2673040E4C6D}"/>
            </c:ext>
          </c:extLst>
        </c:ser>
        <c:ser>
          <c:idx val="8"/>
          <c:order val="8"/>
          <c:tx>
            <c:v>Commandes Y</c:v>
          </c:tx>
          <c:spPr>
            <a:ln w="20000">
              <a:solidFill>
                <a:srgbClr val="117A65"/>
              </a:solidFill>
              <a:prstDash val="solid"/>
            </a:ln>
          </c:spPr>
          <c:marker>
            <c:symbol val="circle"/>
            <c:size val="6"/>
            <c:spPr>
              <a:solidFill>
                <a:srgbClr val="117A65"/>
              </a:solidFill>
              <a:ln>
                <a:solidFill>
                  <a:srgbClr val="117A65"/>
                </a:solidFill>
                <a:prstDash val="solid"/>
              </a:ln>
            </c:spPr>
          </c:marker>
          <c:cat>
            <c:strRef>
              <c:f>Données!$A$51:$A$62</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Combinée!$AN$73:$AN$84</c:f>
              <c:numCache>
                <c:formatCode>#,##0.0</c:formatCode>
                <c:ptCount val="12"/>
              </c:numCache>
            </c:numRef>
          </c:val>
          <c:smooth val="0"/>
          <c:extLst>
            <c:ext xmlns:c16="http://schemas.microsoft.com/office/drawing/2014/chart" uri="{C3380CC4-5D6E-409C-BE32-E72D297353CC}">
              <c16:uniqueId val="{00000008-B46E-433F-921E-2673040E4C6D}"/>
            </c:ext>
          </c:extLst>
        </c:ser>
        <c:dLbls>
          <c:showLegendKey val="0"/>
          <c:showVal val="0"/>
          <c:showCatName val="0"/>
          <c:showSerName val="0"/>
          <c:showPercent val="0"/>
          <c:showBubbleSize val="0"/>
        </c:dLbls>
        <c:smooth val="0"/>
        <c:axId val="10"/>
        <c:axId val="100"/>
      </c:lineChart>
      <c:catAx>
        <c:axId val="10"/>
        <c:scaling>
          <c:orientation val="minMax"/>
        </c:scaling>
        <c:delete val="1"/>
        <c:axPos val="b"/>
        <c:title>
          <c:tx>
            <c:rich>
              <a:bodyPr/>
              <a:lstStyle/>
              <a:p>
                <a:pPr>
                  <a:defRPr/>
                </a:pPr>
                <a:r>
                  <a:t>Mois</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t>Ventes</a:t>
                </a:r>
              </a:p>
            </c:rich>
          </c:tx>
          <c:overlay val="1"/>
        </c:title>
        <c:numFmt formatCode="#,##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Produit A — historique 5Y + prévision Y par mois, 3 méthodes + retenue</a:t>
            </a:r>
          </a:p>
        </c:rich>
      </c:tx>
      <c:overlay val="1"/>
    </c:title>
    <c:autoTitleDeleted val="0"/>
    <c:plotArea>
      <c:layout/>
      <c:lineChart>
        <c:grouping val="standard"/>
        <c:varyColors val="1"/>
        <c:ser>
          <c:idx val="0"/>
          <c:order val="0"/>
          <c:tx>
            <c:v>Y-5</c:v>
          </c:tx>
          <c:spPr>
            <a:ln w="12700">
              <a:solidFill>
                <a:srgbClr val="BDD7EE"/>
              </a:solidFill>
              <a:prstDash val="solid"/>
            </a:ln>
          </c:spPr>
          <c:marker>
            <c:symbol val="none"/>
          </c:marker>
          <c:cat>
            <c:strRef>
              <c:f>'Pipeline 3 méthodes'!$A$8:$A$19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méthodes'!$B$8:$B$19</c:f>
              <c:numCache>
                <c:formatCode>#,##0.0</c:formatCode>
                <c:ptCount val="12"/>
                <c:pt idx="0">
                  <c:v>77</c:v>
                </c:pt>
                <c:pt idx="1">
                  <c:v>79</c:v>
                </c:pt>
                <c:pt idx="2">
                  <c:v>82</c:v>
                </c:pt>
                <c:pt idx="3">
                  <c:v>80</c:v>
                </c:pt>
                <c:pt idx="4">
                  <c:v>78</c:v>
                </c:pt>
                <c:pt idx="5">
                  <c:v>75</c:v>
                </c:pt>
                <c:pt idx="6">
                  <c:v>76</c:v>
                </c:pt>
                <c:pt idx="7">
                  <c:v>83</c:v>
                </c:pt>
                <c:pt idx="8">
                  <c:v>91</c:v>
                </c:pt>
                <c:pt idx="9">
                  <c:v>116</c:v>
                </c:pt>
                <c:pt idx="10">
                  <c:v>96</c:v>
                </c:pt>
                <c:pt idx="11">
                  <c:v>86</c:v>
                </c:pt>
              </c:numCache>
            </c:numRef>
          </c:val>
          <c:smooth val="0"/>
          <c:extLst>
            <c:ext xmlns:c16="http://schemas.microsoft.com/office/drawing/2014/chart" uri="{C3380CC4-5D6E-409C-BE32-E72D297353CC}">
              <c16:uniqueId val="{00000000-BDB6-470C-B8FB-E166E6B933C0}"/>
            </c:ext>
          </c:extLst>
        </c:ser>
        <c:ser>
          <c:idx val="1"/>
          <c:order val="1"/>
          <c:tx>
            <c:v>Y-4</c:v>
          </c:tx>
          <c:spPr>
            <a:ln w="12700">
              <a:solidFill>
                <a:srgbClr val="9DC3E6"/>
              </a:solidFill>
              <a:prstDash val="solid"/>
            </a:ln>
          </c:spPr>
          <c:marker>
            <c:symbol val="none"/>
          </c:marker>
          <c:cat>
            <c:strRef>
              <c:f>'Pipeline 3 méthodes'!$A$8:$A$19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méthodes'!$C$8:$C$19</c:f>
              <c:numCache>
                <c:formatCode>#,##0.0</c:formatCode>
                <c:ptCount val="12"/>
                <c:pt idx="0">
                  <c:v>79</c:v>
                </c:pt>
                <c:pt idx="1">
                  <c:v>81</c:v>
                </c:pt>
                <c:pt idx="2">
                  <c:v>84</c:v>
                </c:pt>
                <c:pt idx="3">
                  <c:v>82</c:v>
                </c:pt>
                <c:pt idx="4">
                  <c:v>80</c:v>
                </c:pt>
                <c:pt idx="5">
                  <c:v>77</c:v>
                </c:pt>
                <c:pt idx="6">
                  <c:v>78</c:v>
                </c:pt>
                <c:pt idx="7">
                  <c:v>85</c:v>
                </c:pt>
                <c:pt idx="8">
                  <c:v>93</c:v>
                </c:pt>
                <c:pt idx="9">
                  <c:v>118</c:v>
                </c:pt>
                <c:pt idx="10">
                  <c:v>98</c:v>
                </c:pt>
                <c:pt idx="11">
                  <c:v>88</c:v>
                </c:pt>
              </c:numCache>
            </c:numRef>
          </c:val>
          <c:smooth val="0"/>
          <c:extLst>
            <c:ext xmlns:c16="http://schemas.microsoft.com/office/drawing/2014/chart" uri="{C3380CC4-5D6E-409C-BE32-E72D297353CC}">
              <c16:uniqueId val="{00000001-BDB6-470C-B8FB-E166E6B933C0}"/>
            </c:ext>
          </c:extLst>
        </c:ser>
        <c:ser>
          <c:idx val="2"/>
          <c:order val="2"/>
          <c:tx>
            <c:v>Y-3</c:v>
          </c:tx>
          <c:spPr>
            <a:ln w="12700">
              <a:solidFill>
                <a:srgbClr val="6FA8DC"/>
              </a:solidFill>
              <a:prstDash val="solid"/>
            </a:ln>
          </c:spPr>
          <c:marker>
            <c:symbol val="none"/>
          </c:marker>
          <c:cat>
            <c:strRef>
              <c:f>'Pipeline 3 méthodes'!$A$8:$A$19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méthodes'!$D$8:$D$19</c:f>
              <c:numCache>
                <c:formatCode>#,##0.0</c:formatCode>
                <c:ptCount val="12"/>
                <c:pt idx="0">
                  <c:v>81</c:v>
                </c:pt>
                <c:pt idx="1">
                  <c:v>83</c:v>
                </c:pt>
                <c:pt idx="2">
                  <c:v>86</c:v>
                </c:pt>
                <c:pt idx="3">
                  <c:v>84</c:v>
                </c:pt>
                <c:pt idx="4">
                  <c:v>82</c:v>
                </c:pt>
                <c:pt idx="5">
                  <c:v>79</c:v>
                </c:pt>
                <c:pt idx="6">
                  <c:v>80</c:v>
                </c:pt>
                <c:pt idx="7">
                  <c:v>87</c:v>
                </c:pt>
                <c:pt idx="8">
                  <c:v>95</c:v>
                </c:pt>
                <c:pt idx="9">
                  <c:v>120</c:v>
                </c:pt>
                <c:pt idx="10">
                  <c:v>100</c:v>
                </c:pt>
                <c:pt idx="11">
                  <c:v>90</c:v>
                </c:pt>
              </c:numCache>
            </c:numRef>
          </c:val>
          <c:smooth val="0"/>
          <c:extLst>
            <c:ext xmlns:c16="http://schemas.microsoft.com/office/drawing/2014/chart" uri="{C3380CC4-5D6E-409C-BE32-E72D297353CC}">
              <c16:uniqueId val="{00000002-BDB6-470C-B8FB-E166E6B933C0}"/>
            </c:ext>
          </c:extLst>
        </c:ser>
        <c:ser>
          <c:idx val="3"/>
          <c:order val="3"/>
          <c:tx>
            <c:v>Y-2</c:v>
          </c:tx>
          <c:spPr>
            <a:ln w="12700">
              <a:solidFill>
                <a:srgbClr val="2E75B6"/>
              </a:solidFill>
              <a:prstDash val="solid"/>
            </a:ln>
          </c:spPr>
          <c:marker>
            <c:symbol val="none"/>
          </c:marker>
          <c:cat>
            <c:strRef>
              <c:f>'Pipeline 3 méthodes'!$A$8:$A$19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méthodes'!$E$8:$E$19</c:f>
              <c:numCache>
                <c:formatCode>#,##0.0</c:formatCode>
                <c:ptCount val="12"/>
                <c:pt idx="0">
                  <c:v>83</c:v>
                </c:pt>
                <c:pt idx="1">
                  <c:v>85</c:v>
                </c:pt>
                <c:pt idx="2">
                  <c:v>88</c:v>
                </c:pt>
                <c:pt idx="3">
                  <c:v>86</c:v>
                </c:pt>
                <c:pt idx="4">
                  <c:v>84</c:v>
                </c:pt>
                <c:pt idx="5">
                  <c:v>81</c:v>
                </c:pt>
                <c:pt idx="6">
                  <c:v>82</c:v>
                </c:pt>
                <c:pt idx="7">
                  <c:v>89</c:v>
                </c:pt>
                <c:pt idx="8">
                  <c:v>97</c:v>
                </c:pt>
                <c:pt idx="9">
                  <c:v>155</c:v>
                </c:pt>
                <c:pt idx="10">
                  <c:v>102</c:v>
                </c:pt>
                <c:pt idx="11">
                  <c:v>92</c:v>
                </c:pt>
              </c:numCache>
            </c:numRef>
          </c:val>
          <c:smooth val="0"/>
          <c:extLst>
            <c:ext xmlns:c16="http://schemas.microsoft.com/office/drawing/2014/chart" uri="{C3380CC4-5D6E-409C-BE32-E72D297353CC}">
              <c16:uniqueId val="{00000003-BDB6-470C-B8FB-E166E6B933C0}"/>
            </c:ext>
          </c:extLst>
        </c:ser>
        <c:ser>
          <c:idx val="4"/>
          <c:order val="4"/>
          <c:tx>
            <c:v>Y-1</c:v>
          </c:tx>
          <c:spPr>
            <a:ln w="12700">
              <a:solidFill>
                <a:srgbClr val="1F4E79"/>
              </a:solidFill>
              <a:prstDash val="solid"/>
            </a:ln>
          </c:spPr>
          <c:marker>
            <c:symbol val="none"/>
          </c:marker>
          <c:cat>
            <c:strRef>
              <c:f>'Pipeline 3 méthodes'!$A$8:$A$19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méthodes'!$F$8:$F$19</c:f>
              <c:numCache>
                <c:formatCode>#,##0.0</c:formatCode>
                <c:ptCount val="12"/>
                <c:pt idx="0">
                  <c:v>85</c:v>
                </c:pt>
                <c:pt idx="1">
                  <c:v>87</c:v>
                </c:pt>
                <c:pt idx="2">
                  <c:v>90</c:v>
                </c:pt>
                <c:pt idx="3">
                  <c:v>88</c:v>
                </c:pt>
                <c:pt idx="4">
                  <c:v>86</c:v>
                </c:pt>
                <c:pt idx="5">
                  <c:v>83</c:v>
                </c:pt>
                <c:pt idx="6">
                  <c:v>84</c:v>
                </c:pt>
                <c:pt idx="7">
                  <c:v>91</c:v>
                </c:pt>
                <c:pt idx="8">
                  <c:v>99</c:v>
                </c:pt>
                <c:pt idx="9">
                  <c:v>126</c:v>
                </c:pt>
                <c:pt idx="10">
                  <c:v>104</c:v>
                </c:pt>
                <c:pt idx="11">
                  <c:v>94</c:v>
                </c:pt>
              </c:numCache>
            </c:numRef>
          </c:val>
          <c:smooth val="0"/>
          <c:extLst>
            <c:ext xmlns:c16="http://schemas.microsoft.com/office/drawing/2014/chart" uri="{C3380CC4-5D6E-409C-BE32-E72D297353CC}">
              <c16:uniqueId val="{00000004-BDB6-470C-B8FB-E166E6B933C0}"/>
            </c:ext>
          </c:extLst>
        </c:ser>
        <c:ser>
          <c:idx val="5"/>
          <c:order val="5"/>
          <c:tx>
            <c:v>Prévision Y (3Y)</c:v>
          </c:tx>
          <c:spPr>
            <a:ln w="16000">
              <a:solidFill>
                <a:srgbClr val="A6A6A6"/>
              </a:solidFill>
              <a:prstDash val="solid"/>
            </a:ln>
          </c:spPr>
          <c:marker>
            <c:symbol val="none"/>
          </c:marker>
          <c:cat>
            <c:strRef>
              <c:f>'Pipeline 3 méthodes'!$A$8:$A$19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méthodes'!$Z$8:$Z$19</c:f>
              <c:numCache>
                <c:formatCode>#,##0.0</c:formatCode>
                <c:ptCount val="12"/>
                <c:pt idx="0">
                  <c:v>87.063364569388668</c:v>
                </c:pt>
                <c:pt idx="1">
                  <c:v>97.968042523033333</c:v>
                </c:pt>
                <c:pt idx="2">
                  <c:v>101.26569767441862</c:v>
                </c:pt>
                <c:pt idx="3">
                  <c:v>90.061129568106324</c:v>
                </c:pt>
                <c:pt idx="4">
                  <c:v>88.06260162601626</c:v>
                </c:pt>
                <c:pt idx="5">
                  <c:v>85.064947648070017</c:v>
                </c:pt>
                <c:pt idx="6">
                  <c:v>86.064146341463427</c:v>
                </c:pt>
                <c:pt idx="7">
                  <c:v>93.05904688105386</c:v>
                </c:pt>
                <c:pt idx="8">
                  <c:v>101.05412913727618</c:v>
                </c:pt>
                <c:pt idx="9">
                  <c:v>129.49961866442837</c:v>
                </c:pt>
                <c:pt idx="10">
                  <c:v>106.05145098039218</c:v>
                </c:pt>
                <c:pt idx="11">
                  <c:v>96.057101449275365</c:v>
                </c:pt>
              </c:numCache>
            </c:numRef>
          </c:val>
          <c:smooth val="0"/>
          <c:extLst>
            <c:ext xmlns:c16="http://schemas.microsoft.com/office/drawing/2014/chart" uri="{C3380CC4-5D6E-409C-BE32-E72D297353CC}">
              <c16:uniqueId val="{00000005-BDB6-470C-B8FB-E166E6B933C0}"/>
            </c:ext>
          </c:extLst>
        </c:ser>
        <c:ser>
          <c:idx val="6"/>
          <c:order val="6"/>
          <c:tx>
            <c:v>Prévision Y (5Y)</c:v>
          </c:tx>
          <c:spPr>
            <a:ln w="16000">
              <a:solidFill>
                <a:srgbClr val="BF8F00"/>
              </a:solidFill>
              <a:prstDash val="solid"/>
            </a:ln>
          </c:spPr>
          <c:marker>
            <c:symbol val="none"/>
          </c:marker>
          <c:cat>
            <c:strRef>
              <c:f>'Pipeline 3 méthodes'!$A$8:$A$19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méthodes'!$AA$8:$AA$19</c:f>
              <c:numCache>
                <c:formatCode>#,##0.0</c:formatCode>
                <c:ptCount val="12"/>
                <c:pt idx="0">
                  <c:v>87.071727533523656</c:v>
                </c:pt>
                <c:pt idx="1">
                  <c:v>97.976994320543682</c:v>
                </c:pt>
                <c:pt idx="2">
                  <c:v>101.27430212016522</c:v>
                </c:pt>
                <c:pt idx="3">
                  <c:v>90.069159531364235</c:v>
                </c:pt>
                <c:pt idx="4">
                  <c:v>88.07085058412639</c:v>
                </c:pt>
                <c:pt idx="5">
                  <c:v>85.073548273644718</c:v>
                </c:pt>
                <c:pt idx="6">
                  <c:v>86.072626483621718</c:v>
                </c:pt>
                <c:pt idx="7">
                  <c:v>93.066769188879746</c:v>
                </c:pt>
                <c:pt idx="8">
                  <c:v>101.0611350519372</c:v>
                </c:pt>
                <c:pt idx="9">
                  <c:v>129.64298756928733</c:v>
                </c:pt>
                <c:pt idx="10">
                  <c:v>106.05807264036225</c:v>
                </c:pt>
                <c:pt idx="11">
                  <c:v>96.064538673384078</c:v>
                </c:pt>
              </c:numCache>
            </c:numRef>
          </c:val>
          <c:smooth val="0"/>
          <c:extLst>
            <c:ext xmlns:c16="http://schemas.microsoft.com/office/drawing/2014/chart" uri="{C3380CC4-5D6E-409C-BE32-E72D297353CC}">
              <c16:uniqueId val="{00000006-BDB6-470C-B8FB-E166E6B933C0}"/>
            </c:ext>
          </c:extLst>
        </c:ser>
        <c:ser>
          <c:idx val="7"/>
          <c:order val="7"/>
          <c:tx>
            <c:v>Prévision Y (Régime)</c:v>
          </c:tx>
          <c:spPr>
            <a:ln w="16000">
              <a:solidFill>
                <a:srgbClr val="2E7D32"/>
              </a:solidFill>
              <a:prstDash val="solid"/>
            </a:ln>
          </c:spPr>
          <c:marker>
            <c:symbol val="none"/>
          </c:marker>
          <c:cat>
            <c:strRef>
              <c:f>'Pipeline 3 méthodes'!$A$8:$A$19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méthodes'!$AB$8:$AB$19</c:f>
              <c:numCache>
                <c:formatCode>#,##0.0</c:formatCode>
                <c:ptCount val="12"/>
                <c:pt idx="0">
                  <c:v>86.990000457182347</c:v>
                </c:pt>
                <c:pt idx="1">
                  <c:v>97.940506397086494</c:v>
                </c:pt>
                <c:pt idx="2">
                  <c:v>101.31776523836534</c:v>
                </c:pt>
                <c:pt idx="3">
                  <c:v>90.060235767435842</c:v>
                </c:pt>
                <c:pt idx="4">
                  <c:v>88.013412227266855</c:v>
                </c:pt>
                <c:pt idx="5">
                  <c:v>84.943176917013361</c:v>
                </c:pt>
                <c:pt idx="6">
                  <c:v>85.966588687097854</c:v>
                </c:pt>
                <c:pt idx="7">
                  <c:v>93.130471077689336</c:v>
                </c:pt>
                <c:pt idx="8">
                  <c:v>101.31776523836533</c:v>
                </c:pt>
                <c:pt idx="9">
                  <c:v>128.94988303064679</c:v>
                </c:pt>
                <c:pt idx="10">
                  <c:v>106.43482408878782</c:v>
                </c:pt>
                <c:pt idx="11">
                  <c:v>96.20070638794283</c:v>
                </c:pt>
              </c:numCache>
            </c:numRef>
          </c:val>
          <c:smooth val="0"/>
          <c:extLst>
            <c:ext xmlns:c16="http://schemas.microsoft.com/office/drawing/2014/chart" uri="{C3380CC4-5D6E-409C-BE32-E72D297353CC}">
              <c16:uniqueId val="{00000007-BDB6-470C-B8FB-E166E6B933C0}"/>
            </c:ext>
          </c:extLst>
        </c:ser>
        <c:ser>
          <c:idx val="8"/>
          <c:order val="8"/>
          <c:tx>
            <c:v>Prévision RETENUE</c:v>
          </c:tx>
          <c:spPr>
            <a:ln w="28000">
              <a:solidFill>
                <a:srgbClr val="C00000"/>
              </a:solidFill>
              <a:prstDash val="solid"/>
            </a:ln>
          </c:spPr>
          <c:marker>
            <c:symbol val="none"/>
          </c:marker>
          <c:cat>
            <c:strRef>
              <c:f>'Pipeline 3 méthodes'!$A$8:$A$19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méthodes'!$AC$8:$AC$19</c:f>
              <c:numCache>
                <c:formatCode>#,##0.0</c:formatCode>
                <c:ptCount val="12"/>
                <c:pt idx="0">
                  <c:v>87.063364569388668</c:v>
                </c:pt>
                <c:pt idx="1">
                  <c:v>97.968042523033333</c:v>
                </c:pt>
                <c:pt idx="2">
                  <c:v>101.26569767441862</c:v>
                </c:pt>
                <c:pt idx="3">
                  <c:v>90.061129568106324</c:v>
                </c:pt>
                <c:pt idx="4">
                  <c:v>88.06260162601626</c:v>
                </c:pt>
                <c:pt idx="5">
                  <c:v>85.064947648070017</c:v>
                </c:pt>
                <c:pt idx="6">
                  <c:v>86.064146341463427</c:v>
                </c:pt>
                <c:pt idx="7">
                  <c:v>93.05904688105386</c:v>
                </c:pt>
                <c:pt idx="8">
                  <c:v>101.05412913727618</c:v>
                </c:pt>
                <c:pt idx="9">
                  <c:v>129.49961866442837</c:v>
                </c:pt>
                <c:pt idx="10">
                  <c:v>106.05145098039218</c:v>
                </c:pt>
                <c:pt idx="11">
                  <c:v>96.057101449275365</c:v>
                </c:pt>
              </c:numCache>
            </c:numRef>
          </c:val>
          <c:smooth val="0"/>
          <c:extLst>
            <c:ext xmlns:c16="http://schemas.microsoft.com/office/drawing/2014/chart" uri="{C3380CC4-5D6E-409C-BE32-E72D297353CC}">
              <c16:uniqueId val="{00000008-BDB6-470C-B8FB-E166E6B933C0}"/>
            </c:ext>
          </c:extLst>
        </c:ser>
        <c:ser>
          <c:idx val="9"/>
          <c:order val="9"/>
          <c:tx>
            <c:v>Prévision Y (Pente)</c:v>
          </c:tx>
          <c:spPr>
            <a:ln w="16000">
              <a:solidFill>
                <a:srgbClr val="7030A0"/>
              </a:solidFill>
              <a:prstDash val="dash"/>
            </a:ln>
          </c:spPr>
          <c:marker>
            <c:symbol val="none"/>
          </c:marker>
          <c:cat>
            <c:strRef>
              <c:f>'Pipeline 3 méthodes'!$A$8:$A$19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méthodes'!$BA$8:$BA$19</c:f>
              <c:numCache>
                <c:formatCode>#,##0.0</c:formatCode>
                <c:ptCount val="12"/>
                <c:pt idx="0">
                  <c:v>87.048192771084345</c:v>
                </c:pt>
                <c:pt idx="1">
                  <c:v>97.95176470588234</c:v>
                </c:pt>
                <c:pt idx="2">
                  <c:v>101.25000000000001</c:v>
                </c:pt>
                <c:pt idx="3">
                  <c:v>90.04651162790698</c:v>
                </c:pt>
                <c:pt idx="4">
                  <c:v>88.047619047619037</c:v>
                </c:pt>
                <c:pt idx="5">
                  <c:v>85.049382716049394</c:v>
                </c:pt>
                <c:pt idx="6">
                  <c:v>86.048780487804876</c:v>
                </c:pt>
                <c:pt idx="7">
                  <c:v>93.044943820224731</c:v>
                </c:pt>
                <c:pt idx="8">
                  <c:v>101.04123711340205</c:v>
                </c:pt>
                <c:pt idx="9">
                  <c:v>130.07631087487434</c:v>
                </c:pt>
                <c:pt idx="10">
                  <c:v>106.0392156862745</c:v>
                </c:pt>
                <c:pt idx="11">
                  <c:v>96.043478260869577</c:v>
                </c:pt>
              </c:numCache>
            </c:numRef>
          </c:val>
          <c:smooth val="0"/>
          <c:extLst>
            <c:ext xmlns:c16="http://schemas.microsoft.com/office/drawing/2014/chart" uri="{C3380CC4-5D6E-409C-BE32-E72D297353CC}">
              <c16:uniqueId val="{00000009-BDB6-470C-B8FB-E166E6B933C0}"/>
            </c:ext>
          </c:extLst>
        </c:ser>
        <c:dLbls>
          <c:showLegendKey val="0"/>
          <c:showVal val="0"/>
          <c:showCatName val="0"/>
          <c:showSerName val="0"/>
          <c:showPercent val="0"/>
          <c:showBubbleSize val="0"/>
        </c:dLbls>
        <c:smooth val="0"/>
        <c:axId val="10"/>
        <c:axId val="100"/>
      </c:lineChart>
      <c:catAx>
        <c:axId val="10"/>
        <c:scaling>
          <c:orientation val="minMax"/>
        </c:scaling>
        <c:delete val="0"/>
        <c:axPos val="b"/>
        <c:title>
          <c:tx>
            <c:rich>
              <a:bodyPr/>
              <a:lstStyle/>
              <a:p>
                <a:pPr>
                  <a:defRPr/>
                </a:pPr>
                <a:r>
                  <a:t>Mois</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title>
          <c:tx>
            <c:rich>
              <a:bodyPr/>
              <a:lstStyle/>
              <a:p>
                <a:pPr>
                  <a:defRPr/>
                </a:pPr>
                <a:r>
                  <a:t>Ventes</a:t>
                </a:r>
              </a:p>
            </c:rich>
          </c:tx>
          <c:overlay val="1"/>
        </c:title>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Produit B — historique 5Y + prévision Y par mois, 3 méthodes + retenue</a:t>
            </a:r>
          </a:p>
        </c:rich>
      </c:tx>
      <c:overlay val="1"/>
    </c:title>
    <c:autoTitleDeleted val="0"/>
    <c:plotArea>
      <c:layout/>
      <c:lineChart>
        <c:grouping val="standard"/>
        <c:varyColors val="1"/>
        <c:ser>
          <c:idx val="0"/>
          <c:order val="0"/>
          <c:tx>
            <c:v>Y-5</c:v>
          </c:tx>
          <c:spPr>
            <a:ln w="12700">
              <a:solidFill>
                <a:srgbClr val="BDD7EE"/>
              </a:solidFill>
              <a:prstDash val="solid"/>
            </a:ln>
          </c:spPr>
          <c:marker>
            <c:symbol val="none"/>
          </c:marker>
          <c:cat>
            <c:strRef>
              <c:f>'Pipeline 3 méthodes'!$A$23:$A$34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méthodes'!$B$23:$B$34</c:f>
              <c:numCache>
                <c:formatCode>#,##0.0</c:formatCode>
                <c:ptCount val="12"/>
                <c:pt idx="0">
                  <c:v>49</c:v>
                </c:pt>
                <c:pt idx="1">
                  <c:v>31</c:v>
                </c:pt>
                <c:pt idx="2">
                  <c:v>23</c:v>
                </c:pt>
                <c:pt idx="3">
                  <c:v>18</c:v>
                </c:pt>
                <c:pt idx="4">
                  <c:v>16</c:v>
                </c:pt>
                <c:pt idx="5">
                  <c:v>13</c:v>
                </c:pt>
                <c:pt idx="6">
                  <c:v>13</c:v>
                </c:pt>
                <c:pt idx="7">
                  <c:v>18</c:v>
                </c:pt>
                <c:pt idx="8">
                  <c:v>41</c:v>
                </c:pt>
                <c:pt idx="9">
                  <c:v>99</c:v>
                </c:pt>
                <c:pt idx="10">
                  <c:v>198</c:v>
                </c:pt>
                <c:pt idx="11">
                  <c:v>252</c:v>
                </c:pt>
              </c:numCache>
            </c:numRef>
          </c:val>
          <c:smooth val="0"/>
          <c:extLst>
            <c:ext xmlns:c16="http://schemas.microsoft.com/office/drawing/2014/chart" uri="{C3380CC4-5D6E-409C-BE32-E72D297353CC}">
              <c16:uniqueId val="{00000000-5FAE-40F4-8613-F0ECB6B1F454}"/>
            </c:ext>
          </c:extLst>
        </c:ser>
        <c:ser>
          <c:idx val="1"/>
          <c:order val="1"/>
          <c:tx>
            <c:v>Y-4</c:v>
          </c:tx>
          <c:spPr>
            <a:ln w="12700">
              <a:solidFill>
                <a:srgbClr val="9DC3E6"/>
              </a:solidFill>
              <a:prstDash val="solid"/>
            </a:ln>
          </c:spPr>
          <c:marker>
            <c:symbol val="none"/>
          </c:marker>
          <c:cat>
            <c:strRef>
              <c:f>'Pipeline 3 méthodes'!$A$23:$A$34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méthodes'!$C$23:$C$34</c:f>
              <c:numCache>
                <c:formatCode>#,##0.0</c:formatCode>
                <c:ptCount val="12"/>
                <c:pt idx="0">
                  <c:v>52</c:v>
                </c:pt>
                <c:pt idx="1">
                  <c:v>33</c:v>
                </c:pt>
                <c:pt idx="2">
                  <c:v>24</c:v>
                </c:pt>
                <c:pt idx="3">
                  <c:v>19</c:v>
                </c:pt>
                <c:pt idx="4">
                  <c:v>17</c:v>
                </c:pt>
                <c:pt idx="5">
                  <c:v>14</c:v>
                </c:pt>
                <c:pt idx="6">
                  <c:v>14</c:v>
                </c:pt>
                <c:pt idx="7">
                  <c:v>19</c:v>
                </c:pt>
                <c:pt idx="8">
                  <c:v>43</c:v>
                </c:pt>
                <c:pt idx="9">
                  <c:v>104</c:v>
                </c:pt>
                <c:pt idx="10">
                  <c:v>209</c:v>
                </c:pt>
                <c:pt idx="11">
                  <c:v>266</c:v>
                </c:pt>
              </c:numCache>
            </c:numRef>
          </c:val>
          <c:smooth val="0"/>
          <c:extLst>
            <c:ext xmlns:c16="http://schemas.microsoft.com/office/drawing/2014/chart" uri="{C3380CC4-5D6E-409C-BE32-E72D297353CC}">
              <c16:uniqueId val="{00000001-5FAE-40F4-8613-F0ECB6B1F454}"/>
            </c:ext>
          </c:extLst>
        </c:ser>
        <c:ser>
          <c:idx val="2"/>
          <c:order val="2"/>
          <c:tx>
            <c:v>Y-3</c:v>
          </c:tx>
          <c:spPr>
            <a:ln w="12700">
              <a:solidFill>
                <a:srgbClr val="6FA8DC"/>
              </a:solidFill>
              <a:prstDash val="solid"/>
            </a:ln>
          </c:spPr>
          <c:marker>
            <c:symbol val="none"/>
          </c:marker>
          <c:cat>
            <c:strRef>
              <c:f>'Pipeline 3 méthodes'!$A$23:$A$34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méthodes'!$D$23:$D$34</c:f>
              <c:numCache>
                <c:formatCode>#,##0.0</c:formatCode>
                <c:ptCount val="12"/>
                <c:pt idx="0">
                  <c:v>55</c:v>
                </c:pt>
                <c:pt idx="1">
                  <c:v>35</c:v>
                </c:pt>
                <c:pt idx="2">
                  <c:v>25</c:v>
                </c:pt>
                <c:pt idx="3">
                  <c:v>20</c:v>
                </c:pt>
                <c:pt idx="4">
                  <c:v>18</c:v>
                </c:pt>
                <c:pt idx="5">
                  <c:v>15</c:v>
                </c:pt>
                <c:pt idx="6">
                  <c:v>15</c:v>
                </c:pt>
                <c:pt idx="7">
                  <c:v>20</c:v>
                </c:pt>
                <c:pt idx="8">
                  <c:v>45</c:v>
                </c:pt>
                <c:pt idx="9">
                  <c:v>110</c:v>
                </c:pt>
                <c:pt idx="10">
                  <c:v>220</c:v>
                </c:pt>
                <c:pt idx="11">
                  <c:v>280</c:v>
                </c:pt>
              </c:numCache>
            </c:numRef>
          </c:val>
          <c:smooth val="0"/>
          <c:extLst>
            <c:ext xmlns:c16="http://schemas.microsoft.com/office/drawing/2014/chart" uri="{C3380CC4-5D6E-409C-BE32-E72D297353CC}">
              <c16:uniqueId val="{00000002-5FAE-40F4-8613-F0ECB6B1F454}"/>
            </c:ext>
          </c:extLst>
        </c:ser>
        <c:ser>
          <c:idx val="3"/>
          <c:order val="3"/>
          <c:tx>
            <c:v>Y-2</c:v>
          </c:tx>
          <c:spPr>
            <a:ln w="12700">
              <a:solidFill>
                <a:srgbClr val="2E75B6"/>
              </a:solidFill>
              <a:prstDash val="solid"/>
            </a:ln>
          </c:spPr>
          <c:marker>
            <c:symbol val="none"/>
          </c:marker>
          <c:cat>
            <c:strRef>
              <c:f>'Pipeline 3 méthodes'!$A$23:$A$34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méthodes'!$E$23:$E$34</c:f>
              <c:numCache>
                <c:formatCode>#,##0.0</c:formatCode>
                <c:ptCount val="12"/>
                <c:pt idx="0">
                  <c:v>58</c:v>
                </c:pt>
                <c:pt idx="1">
                  <c:v>37</c:v>
                </c:pt>
                <c:pt idx="2">
                  <c:v>26</c:v>
                </c:pt>
                <c:pt idx="3">
                  <c:v>40</c:v>
                </c:pt>
                <c:pt idx="4">
                  <c:v>19</c:v>
                </c:pt>
                <c:pt idx="5">
                  <c:v>16</c:v>
                </c:pt>
                <c:pt idx="6">
                  <c:v>16</c:v>
                </c:pt>
                <c:pt idx="7">
                  <c:v>21</c:v>
                </c:pt>
                <c:pt idx="8">
                  <c:v>47</c:v>
                </c:pt>
                <c:pt idx="9">
                  <c:v>116</c:v>
                </c:pt>
                <c:pt idx="10">
                  <c:v>231</c:v>
                </c:pt>
                <c:pt idx="11">
                  <c:v>294</c:v>
                </c:pt>
              </c:numCache>
            </c:numRef>
          </c:val>
          <c:smooth val="0"/>
          <c:extLst>
            <c:ext xmlns:c16="http://schemas.microsoft.com/office/drawing/2014/chart" uri="{C3380CC4-5D6E-409C-BE32-E72D297353CC}">
              <c16:uniqueId val="{00000003-5FAE-40F4-8613-F0ECB6B1F454}"/>
            </c:ext>
          </c:extLst>
        </c:ser>
        <c:ser>
          <c:idx val="4"/>
          <c:order val="4"/>
          <c:tx>
            <c:v>Y-1</c:v>
          </c:tx>
          <c:spPr>
            <a:ln w="12700">
              <a:solidFill>
                <a:srgbClr val="1F4E79"/>
              </a:solidFill>
              <a:prstDash val="solid"/>
            </a:ln>
          </c:spPr>
          <c:marker>
            <c:symbol val="none"/>
          </c:marker>
          <c:cat>
            <c:strRef>
              <c:f>'Pipeline 3 méthodes'!$A$23:$A$34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méthodes'!$F$23:$F$34</c:f>
              <c:numCache>
                <c:formatCode>#,##0.0</c:formatCode>
                <c:ptCount val="12"/>
                <c:pt idx="0">
                  <c:v>61</c:v>
                </c:pt>
                <c:pt idx="1">
                  <c:v>39</c:v>
                </c:pt>
                <c:pt idx="2">
                  <c:v>27</c:v>
                </c:pt>
                <c:pt idx="3">
                  <c:v>22</c:v>
                </c:pt>
                <c:pt idx="4">
                  <c:v>20</c:v>
                </c:pt>
                <c:pt idx="5">
                  <c:v>17</c:v>
                </c:pt>
                <c:pt idx="6">
                  <c:v>17</c:v>
                </c:pt>
                <c:pt idx="7">
                  <c:v>22</c:v>
                </c:pt>
                <c:pt idx="8">
                  <c:v>50</c:v>
                </c:pt>
                <c:pt idx="9">
                  <c:v>122</c:v>
                </c:pt>
                <c:pt idx="10">
                  <c:v>243</c:v>
                </c:pt>
                <c:pt idx="11">
                  <c:v>309</c:v>
                </c:pt>
              </c:numCache>
            </c:numRef>
          </c:val>
          <c:smooth val="0"/>
          <c:extLst>
            <c:ext xmlns:c16="http://schemas.microsoft.com/office/drawing/2014/chart" uri="{C3380CC4-5D6E-409C-BE32-E72D297353CC}">
              <c16:uniqueId val="{00000004-5FAE-40F4-8613-F0ECB6B1F454}"/>
            </c:ext>
          </c:extLst>
        </c:ser>
        <c:ser>
          <c:idx val="5"/>
          <c:order val="5"/>
          <c:tx>
            <c:v>Prévision Y (3Y)</c:v>
          </c:tx>
          <c:spPr>
            <a:ln w="16000">
              <a:solidFill>
                <a:srgbClr val="A6A6A6"/>
              </a:solidFill>
              <a:prstDash val="solid"/>
            </a:ln>
          </c:spPr>
          <c:marker>
            <c:symbol val="none"/>
          </c:marker>
          <c:cat>
            <c:strRef>
              <c:f>'Pipeline 3 méthodes'!$A$23:$A$34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méthodes'!$Z$23:$Z$34</c:f>
              <c:numCache>
                <c:formatCode>#,##0.0</c:formatCode>
                <c:ptCount val="12"/>
                <c:pt idx="0">
                  <c:v>64.206802507836997</c:v>
                </c:pt>
                <c:pt idx="1">
                  <c:v>41.1442471042471</c:v>
                </c:pt>
                <c:pt idx="2">
                  <c:v>28.050923076923073</c:v>
                </c:pt>
                <c:pt idx="3">
                  <c:v>23.02769715551014</c:v>
                </c:pt>
                <c:pt idx="4">
                  <c:v>21.070175438596493</c:v>
                </c:pt>
                <c:pt idx="5">
                  <c:v>19.892125</c:v>
                </c:pt>
                <c:pt idx="6">
                  <c:v>18.083749999999998</c:v>
                </c:pt>
                <c:pt idx="7">
                  <c:v>23.063333333333333</c:v>
                </c:pt>
                <c:pt idx="8">
                  <c:v>52.900709219858157</c:v>
                </c:pt>
                <c:pt idx="9">
                  <c:v>128.41360501567399</c:v>
                </c:pt>
                <c:pt idx="10">
                  <c:v>306.57763636363632</c:v>
                </c:pt>
                <c:pt idx="11">
                  <c:v>324.67071428571427</c:v>
                </c:pt>
              </c:numCache>
            </c:numRef>
          </c:val>
          <c:smooth val="0"/>
          <c:extLst>
            <c:ext xmlns:c16="http://schemas.microsoft.com/office/drawing/2014/chart" uri="{C3380CC4-5D6E-409C-BE32-E72D297353CC}">
              <c16:uniqueId val="{00000005-5FAE-40F4-8613-F0ECB6B1F454}"/>
            </c:ext>
          </c:extLst>
        </c:ser>
        <c:ser>
          <c:idx val="6"/>
          <c:order val="6"/>
          <c:tx>
            <c:v>Prévision Y (5Y)</c:v>
          </c:tx>
          <c:spPr>
            <a:ln w="16000">
              <a:solidFill>
                <a:srgbClr val="BF8F00"/>
              </a:solidFill>
              <a:prstDash val="solid"/>
            </a:ln>
          </c:spPr>
          <c:marker>
            <c:symbol val="none"/>
          </c:marker>
          <c:cat>
            <c:strRef>
              <c:f>'Pipeline 3 méthodes'!$A$23:$A$34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méthodes'!$AA$23:$AA$34</c:f>
              <c:numCache>
                <c:formatCode>#,##0.0</c:formatCode>
                <c:ptCount val="12"/>
                <c:pt idx="0">
                  <c:v>64.238739726922148</c:v>
                </c:pt>
                <c:pt idx="1">
                  <c:v>41.16682498292694</c:v>
                </c:pt>
                <c:pt idx="2">
                  <c:v>28.058212562441639</c:v>
                </c:pt>
                <c:pt idx="3">
                  <c:v>23.010232331816276</c:v>
                </c:pt>
                <c:pt idx="4">
                  <c:v>21.081069685906542</c:v>
                </c:pt>
                <c:pt idx="5">
                  <c:v>19.907268542863704</c:v>
                </c:pt>
                <c:pt idx="6">
                  <c:v>18.097516857148822</c:v>
                </c:pt>
                <c:pt idx="7">
                  <c:v>23.072886053499118</c:v>
                </c:pt>
                <c:pt idx="8">
                  <c:v>52.997003368609526</c:v>
                </c:pt>
                <c:pt idx="9">
                  <c:v>128.37948059709726</c:v>
                </c:pt>
                <c:pt idx="10">
                  <c:v>306.799127735978</c:v>
                </c:pt>
                <c:pt idx="11">
                  <c:v>324.88390502793891</c:v>
                </c:pt>
              </c:numCache>
            </c:numRef>
          </c:val>
          <c:smooth val="0"/>
          <c:extLst>
            <c:ext xmlns:c16="http://schemas.microsoft.com/office/drawing/2014/chart" uri="{C3380CC4-5D6E-409C-BE32-E72D297353CC}">
              <c16:uniqueId val="{00000006-5FAE-40F4-8613-F0ECB6B1F454}"/>
            </c:ext>
          </c:extLst>
        </c:ser>
        <c:ser>
          <c:idx val="7"/>
          <c:order val="7"/>
          <c:tx>
            <c:v>Prévision Y (Régime)</c:v>
          </c:tx>
          <c:spPr>
            <a:ln w="16000">
              <a:solidFill>
                <a:srgbClr val="2E7D32"/>
              </a:solidFill>
              <a:prstDash val="solid"/>
            </a:ln>
          </c:spPr>
          <c:marker>
            <c:symbol val="none"/>
          </c:marker>
          <c:cat>
            <c:strRef>
              <c:f>'Pipeline 3 méthodes'!$A$23:$A$34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méthodes'!$AB$23:$AB$34</c:f>
              <c:numCache>
                <c:formatCode>#,##0.0</c:formatCode>
                <c:ptCount val="12"/>
                <c:pt idx="0">
                  <c:v>64.378231653189061</c:v>
                </c:pt>
                <c:pt idx="1">
                  <c:v>41.159853024170062</c:v>
                </c:pt>
                <c:pt idx="2">
                  <c:v>28.495282862886963</c:v>
                </c:pt>
                <c:pt idx="3">
                  <c:v>23.218378629019007</c:v>
                </c:pt>
                <c:pt idx="4">
                  <c:v>21.107616935471825</c:v>
                </c:pt>
                <c:pt idx="5">
                  <c:v>19.735621834666158</c:v>
                </c:pt>
                <c:pt idx="6">
                  <c:v>17.941474395151051</c:v>
                </c:pt>
                <c:pt idx="7">
                  <c:v>23.218378629019007</c:v>
                </c:pt>
                <c:pt idx="8">
                  <c:v>52.769042338679562</c:v>
                </c:pt>
                <c:pt idx="9">
                  <c:v>128.75646330637812</c:v>
                </c:pt>
                <c:pt idx="10">
                  <c:v>307.74905491917917</c:v>
                </c:pt>
                <c:pt idx="11">
                  <c:v>326.11268165303972</c:v>
                </c:pt>
              </c:numCache>
            </c:numRef>
          </c:val>
          <c:smooth val="0"/>
          <c:extLst>
            <c:ext xmlns:c16="http://schemas.microsoft.com/office/drawing/2014/chart" uri="{C3380CC4-5D6E-409C-BE32-E72D297353CC}">
              <c16:uniqueId val="{00000007-5FAE-40F4-8613-F0ECB6B1F454}"/>
            </c:ext>
          </c:extLst>
        </c:ser>
        <c:ser>
          <c:idx val="8"/>
          <c:order val="8"/>
          <c:tx>
            <c:v>Prévision RETENUE</c:v>
          </c:tx>
          <c:spPr>
            <a:ln w="28000">
              <a:solidFill>
                <a:srgbClr val="C00000"/>
              </a:solidFill>
              <a:prstDash val="solid"/>
            </a:ln>
          </c:spPr>
          <c:marker>
            <c:symbol val="none"/>
          </c:marker>
          <c:cat>
            <c:strRef>
              <c:f>'Pipeline 3 méthodes'!$A$23:$A$34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méthodes'!$AC$23:$AC$34</c:f>
              <c:numCache>
                <c:formatCode>#,##0.0</c:formatCode>
                <c:ptCount val="12"/>
                <c:pt idx="0">
                  <c:v>64.206802507836997</c:v>
                </c:pt>
                <c:pt idx="1">
                  <c:v>41.1442471042471</c:v>
                </c:pt>
                <c:pt idx="2">
                  <c:v>28.050923076923073</c:v>
                </c:pt>
                <c:pt idx="3">
                  <c:v>23.02769715551014</c:v>
                </c:pt>
                <c:pt idx="4">
                  <c:v>21.070175438596493</c:v>
                </c:pt>
                <c:pt idx="5">
                  <c:v>19.892125</c:v>
                </c:pt>
                <c:pt idx="6">
                  <c:v>18.083749999999998</c:v>
                </c:pt>
                <c:pt idx="7">
                  <c:v>23.063333333333333</c:v>
                </c:pt>
                <c:pt idx="8">
                  <c:v>52.900709219858157</c:v>
                </c:pt>
                <c:pt idx="9">
                  <c:v>128.41360501567399</c:v>
                </c:pt>
                <c:pt idx="10">
                  <c:v>306.57763636363632</c:v>
                </c:pt>
                <c:pt idx="11">
                  <c:v>324.67071428571427</c:v>
                </c:pt>
              </c:numCache>
            </c:numRef>
          </c:val>
          <c:smooth val="0"/>
          <c:extLst>
            <c:ext xmlns:c16="http://schemas.microsoft.com/office/drawing/2014/chart" uri="{C3380CC4-5D6E-409C-BE32-E72D297353CC}">
              <c16:uniqueId val="{00000008-5FAE-40F4-8613-F0ECB6B1F454}"/>
            </c:ext>
          </c:extLst>
        </c:ser>
        <c:ser>
          <c:idx val="9"/>
          <c:order val="9"/>
          <c:tx>
            <c:v>Prévision Y (Pente)</c:v>
          </c:tx>
          <c:spPr>
            <a:ln w="16000">
              <a:solidFill>
                <a:srgbClr val="7030A0"/>
              </a:solidFill>
              <a:prstDash val="dash"/>
            </a:ln>
          </c:spPr>
          <c:marker>
            <c:symbol val="none"/>
          </c:marker>
          <c:cat>
            <c:strRef>
              <c:f>'Pipeline 3 méthodes'!$A$23:$A$34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méthodes'!$BA$23:$BA$34</c:f>
              <c:numCache>
                <c:formatCode>#,##0.0</c:formatCode>
                <c:ptCount val="12"/>
                <c:pt idx="0">
                  <c:v>64.155172413793096</c:v>
                </c:pt>
                <c:pt idx="1">
                  <c:v>41.108108108108105</c:v>
                </c:pt>
                <c:pt idx="2">
                  <c:v>28.03846153846154</c:v>
                </c:pt>
                <c:pt idx="3">
                  <c:v>22.958113730929266</c:v>
                </c:pt>
                <c:pt idx="4">
                  <c:v>21.052631578947366</c:v>
                </c:pt>
                <c:pt idx="5">
                  <c:v>19.868750000000002</c:v>
                </c:pt>
                <c:pt idx="6">
                  <c:v>18.0625</c:v>
                </c:pt>
                <c:pt idx="7">
                  <c:v>23.047619047619047</c:v>
                </c:pt>
                <c:pt idx="8">
                  <c:v>53.191489361702125</c:v>
                </c:pt>
                <c:pt idx="9">
                  <c:v>128.31034482758619</c:v>
                </c:pt>
                <c:pt idx="10">
                  <c:v>306.74805194805197</c:v>
                </c:pt>
                <c:pt idx="11">
                  <c:v>324.76530612244898</c:v>
                </c:pt>
              </c:numCache>
            </c:numRef>
          </c:val>
          <c:smooth val="0"/>
          <c:extLst>
            <c:ext xmlns:c16="http://schemas.microsoft.com/office/drawing/2014/chart" uri="{C3380CC4-5D6E-409C-BE32-E72D297353CC}">
              <c16:uniqueId val="{00000009-5FAE-40F4-8613-F0ECB6B1F454}"/>
            </c:ext>
          </c:extLst>
        </c:ser>
        <c:dLbls>
          <c:showLegendKey val="0"/>
          <c:showVal val="0"/>
          <c:showCatName val="0"/>
          <c:showSerName val="0"/>
          <c:showPercent val="0"/>
          <c:showBubbleSize val="0"/>
        </c:dLbls>
        <c:smooth val="0"/>
        <c:axId val="10"/>
        <c:axId val="100"/>
      </c:lineChart>
      <c:catAx>
        <c:axId val="10"/>
        <c:scaling>
          <c:orientation val="minMax"/>
        </c:scaling>
        <c:delete val="0"/>
        <c:axPos val="b"/>
        <c:title>
          <c:tx>
            <c:rich>
              <a:bodyPr/>
              <a:lstStyle/>
              <a:p>
                <a:pPr>
                  <a:defRPr/>
                </a:pPr>
                <a:r>
                  <a:t>Mois</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title>
          <c:tx>
            <c:rich>
              <a:bodyPr/>
              <a:lstStyle/>
              <a:p>
                <a:pPr>
                  <a:defRPr/>
                </a:pPr>
                <a:r>
                  <a:t>Ventes</a:t>
                </a:r>
              </a:p>
            </c:rich>
          </c:tx>
          <c:overlay val="1"/>
        </c:title>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Produit C — historique 5Y + prévision Y par mois, 3 méthodes + retenue</a:t>
            </a:r>
          </a:p>
        </c:rich>
      </c:tx>
      <c:overlay val="1"/>
    </c:title>
    <c:autoTitleDeleted val="0"/>
    <c:plotArea>
      <c:layout/>
      <c:lineChart>
        <c:grouping val="standard"/>
        <c:varyColors val="1"/>
        <c:ser>
          <c:idx val="0"/>
          <c:order val="0"/>
          <c:tx>
            <c:v>Y-5</c:v>
          </c:tx>
          <c:spPr>
            <a:ln w="12700">
              <a:solidFill>
                <a:srgbClr val="BDD7EE"/>
              </a:solidFill>
              <a:prstDash val="solid"/>
            </a:ln>
          </c:spPr>
          <c:marker>
            <c:symbol val="none"/>
          </c:marker>
          <c:cat>
            <c:strRef>
              <c:f>'Pipeline 3 méthodes'!$A$38:$A$49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méthodes'!$B$38:$B$49</c:f>
              <c:numCache>
                <c:formatCode>#,##0.0</c:formatCode>
                <c:ptCount val="12"/>
                <c:pt idx="0">
                  <c:v>97</c:v>
                </c:pt>
                <c:pt idx="1">
                  <c:v>99</c:v>
                </c:pt>
                <c:pt idx="2">
                  <c:v>101</c:v>
                </c:pt>
                <c:pt idx="3">
                  <c:v>103</c:v>
                </c:pt>
                <c:pt idx="4">
                  <c:v>100</c:v>
                </c:pt>
                <c:pt idx="5">
                  <c:v>98</c:v>
                </c:pt>
                <c:pt idx="6">
                  <c:v>102</c:v>
                </c:pt>
                <c:pt idx="7">
                  <c:v>104</c:v>
                </c:pt>
                <c:pt idx="8">
                  <c:v>99</c:v>
                </c:pt>
                <c:pt idx="9">
                  <c:v>101</c:v>
                </c:pt>
                <c:pt idx="10">
                  <c:v>98</c:v>
                </c:pt>
                <c:pt idx="11">
                  <c:v>100</c:v>
                </c:pt>
              </c:numCache>
            </c:numRef>
          </c:val>
          <c:smooth val="0"/>
          <c:extLst>
            <c:ext xmlns:c16="http://schemas.microsoft.com/office/drawing/2014/chart" uri="{C3380CC4-5D6E-409C-BE32-E72D297353CC}">
              <c16:uniqueId val="{00000000-8672-4DC0-8625-69240AC7F836}"/>
            </c:ext>
          </c:extLst>
        </c:ser>
        <c:ser>
          <c:idx val="1"/>
          <c:order val="1"/>
          <c:tx>
            <c:v>Y-4</c:v>
          </c:tx>
          <c:spPr>
            <a:ln w="12700">
              <a:solidFill>
                <a:srgbClr val="9DC3E6"/>
              </a:solidFill>
              <a:prstDash val="solid"/>
            </a:ln>
          </c:spPr>
          <c:marker>
            <c:symbol val="none"/>
          </c:marker>
          <c:cat>
            <c:strRef>
              <c:f>'Pipeline 3 méthodes'!$A$38:$A$49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méthodes'!$C$38:$C$49</c:f>
              <c:numCache>
                <c:formatCode>#,##0.0</c:formatCode>
                <c:ptCount val="12"/>
                <c:pt idx="0">
                  <c:v>98</c:v>
                </c:pt>
                <c:pt idx="1">
                  <c:v>100</c:v>
                </c:pt>
                <c:pt idx="2">
                  <c:v>102</c:v>
                </c:pt>
                <c:pt idx="3">
                  <c:v>104</c:v>
                </c:pt>
                <c:pt idx="4">
                  <c:v>101</c:v>
                </c:pt>
                <c:pt idx="5">
                  <c:v>99</c:v>
                </c:pt>
                <c:pt idx="6">
                  <c:v>103</c:v>
                </c:pt>
                <c:pt idx="7">
                  <c:v>105</c:v>
                </c:pt>
                <c:pt idx="8">
                  <c:v>100</c:v>
                </c:pt>
                <c:pt idx="9">
                  <c:v>102</c:v>
                </c:pt>
                <c:pt idx="10">
                  <c:v>99</c:v>
                </c:pt>
                <c:pt idx="11">
                  <c:v>101</c:v>
                </c:pt>
              </c:numCache>
            </c:numRef>
          </c:val>
          <c:smooth val="0"/>
          <c:extLst>
            <c:ext xmlns:c16="http://schemas.microsoft.com/office/drawing/2014/chart" uri="{C3380CC4-5D6E-409C-BE32-E72D297353CC}">
              <c16:uniqueId val="{00000001-8672-4DC0-8625-69240AC7F836}"/>
            </c:ext>
          </c:extLst>
        </c:ser>
        <c:ser>
          <c:idx val="2"/>
          <c:order val="2"/>
          <c:tx>
            <c:v>Y-3</c:v>
          </c:tx>
          <c:spPr>
            <a:ln w="12700">
              <a:solidFill>
                <a:srgbClr val="6FA8DC"/>
              </a:solidFill>
              <a:prstDash val="solid"/>
            </a:ln>
          </c:spPr>
          <c:marker>
            <c:symbol val="none"/>
          </c:marker>
          <c:cat>
            <c:strRef>
              <c:f>'Pipeline 3 méthodes'!$A$38:$A$49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méthodes'!$D$38:$D$49</c:f>
              <c:numCache>
                <c:formatCode>#,##0.0</c:formatCode>
                <c:ptCount val="12"/>
                <c:pt idx="0">
                  <c:v>99</c:v>
                </c:pt>
                <c:pt idx="1">
                  <c:v>101</c:v>
                </c:pt>
                <c:pt idx="2">
                  <c:v>103</c:v>
                </c:pt>
                <c:pt idx="3">
                  <c:v>105</c:v>
                </c:pt>
                <c:pt idx="4">
                  <c:v>102</c:v>
                </c:pt>
                <c:pt idx="5">
                  <c:v>100</c:v>
                </c:pt>
                <c:pt idx="6">
                  <c:v>104</c:v>
                </c:pt>
                <c:pt idx="7">
                  <c:v>106</c:v>
                </c:pt>
                <c:pt idx="8">
                  <c:v>101</c:v>
                </c:pt>
                <c:pt idx="9">
                  <c:v>103</c:v>
                </c:pt>
                <c:pt idx="10">
                  <c:v>100</c:v>
                </c:pt>
                <c:pt idx="11">
                  <c:v>102</c:v>
                </c:pt>
              </c:numCache>
            </c:numRef>
          </c:val>
          <c:smooth val="0"/>
          <c:extLst>
            <c:ext xmlns:c16="http://schemas.microsoft.com/office/drawing/2014/chart" uri="{C3380CC4-5D6E-409C-BE32-E72D297353CC}">
              <c16:uniqueId val="{00000002-8672-4DC0-8625-69240AC7F836}"/>
            </c:ext>
          </c:extLst>
        </c:ser>
        <c:ser>
          <c:idx val="3"/>
          <c:order val="3"/>
          <c:tx>
            <c:v>Y-2</c:v>
          </c:tx>
          <c:spPr>
            <a:ln w="12700">
              <a:solidFill>
                <a:srgbClr val="2E75B6"/>
              </a:solidFill>
              <a:prstDash val="solid"/>
            </a:ln>
          </c:spPr>
          <c:marker>
            <c:symbol val="none"/>
          </c:marker>
          <c:cat>
            <c:strRef>
              <c:f>'Pipeline 3 méthodes'!$A$38:$A$49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méthodes'!$E$38:$E$49</c:f>
              <c:numCache>
                <c:formatCode>#,##0.0</c:formatCode>
                <c:ptCount val="12"/>
                <c:pt idx="0">
                  <c:v>114</c:v>
                </c:pt>
                <c:pt idx="1">
                  <c:v>116</c:v>
                </c:pt>
                <c:pt idx="2">
                  <c:v>118</c:v>
                </c:pt>
                <c:pt idx="3">
                  <c:v>121</c:v>
                </c:pt>
                <c:pt idx="4">
                  <c:v>117</c:v>
                </c:pt>
                <c:pt idx="5">
                  <c:v>115</c:v>
                </c:pt>
                <c:pt idx="6">
                  <c:v>120</c:v>
                </c:pt>
                <c:pt idx="7">
                  <c:v>122</c:v>
                </c:pt>
                <c:pt idx="8">
                  <c:v>116</c:v>
                </c:pt>
                <c:pt idx="9">
                  <c:v>118</c:v>
                </c:pt>
                <c:pt idx="10">
                  <c:v>115</c:v>
                </c:pt>
                <c:pt idx="11">
                  <c:v>117</c:v>
                </c:pt>
              </c:numCache>
            </c:numRef>
          </c:val>
          <c:smooth val="0"/>
          <c:extLst>
            <c:ext xmlns:c16="http://schemas.microsoft.com/office/drawing/2014/chart" uri="{C3380CC4-5D6E-409C-BE32-E72D297353CC}">
              <c16:uniqueId val="{00000003-8672-4DC0-8625-69240AC7F836}"/>
            </c:ext>
          </c:extLst>
        </c:ser>
        <c:ser>
          <c:idx val="4"/>
          <c:order val="4"/>
          <c:tx>
            <c:v>Y-1</c:v>
          </c:tx>
          <c:spPr>
            <a:ln w="12700">
              <a:solidFill>
                <a:srgbClr val="1F4E79"/>
              </a:solidFill>
              <a:prstDash val="solid"/>
            </a:ln>
          </c:spPr>
          <c:marker>
            <c:symbol val="none"/>
          </c:marker>
          <c:cat>
            <c:strRef>
              <c:f>'Pipeline 3 méthodes'!$A$38:$A$49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méthodes'!$F$38:$F$49</c:f>
              <c:numCache>
                <c:formatCode>#,##0.0</c:formatCode>
                <c:ptCount val="12"/>
                <c:pt idx="0">
                  <c:v>131</c:v>
                </c:pt>
                <c:pt idx="1">
                  <c:v>133</c:v>
                </c:pt>
                <c:pt idx="2">
                  <c:v>136</c:v>
                </c:pt>
                <c:pt idx="3">
                  <c:v>139</c:v>
                </c:pt>
                <c:pt idx="4">
                  <c:v>135</c:v>
                </c:pt>
                <c:pt idx="5">
                  <c:v>132</c:v>
                </c:pt>
                <c:pt idx="6">
                  <c:v>138</c:v>
                </c:pt>
                <c:pt idx="7">
                  <c:v>140</c:v>
                </c:pt>
                <c:pt idx="8">
                  <c:v>133</c:v>
                </c:pt>
                <c:pt idx="9">
                  <c:v>136</c:v>
                </c:pt>
                <c:pt idx="10">
                  <c:v>132</c:v>
                </c:pt>
                <c:pt idx="11">
                  <c:v>135</c:v>
                </c:pt>
              </c:numCache>
            </c:numRef>
          </c:val>
          <c:smooth val="0"/>
          <c:extLst>
            <c:ext xmlns:c16="http://schemas.microsoft.com/office/drawing/2014/chart" uri="{C3380CC4-5D6E-409C-BE32-E72D297353CC}">
              <c16:uniqueId val="{00000004-8672-4DC0-8625-69240AC7F836}"/>
            </c:ext>
          </c:extLst>
        </c:ser>
        <c:ser>
          <c:idx val="5"/>
          <c:order val="5"/>
          <c:tx>
            <c:v>Prévision Y (3Y)</c:v>
          </c:tx>
          <c:spPr>
            <a:ln w="16000">
              <a:solidFill>
                <a:srgbClr val="A6A6A6"/>
              </a:solidFill>
              <a:prstDash val="solid"/>
            </a:ln>
          </c:spPr>
          <c:marker>
            <c:symbol val="none"/>
          </c:marker>
          <c:cat>
            <c:strRef>
              <c:f>'Pipeline 3 méthodes'!$A$38:$A$49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méthodes'!$Z$38:$Z$49</c:f>
              <c:numCache>
                <c:formatCode>#,##0.0</c:formatCode>
                <c:ptCount val="12"/>
                <c:pt idx="0">
                  <c:v>150.62910685805423</c:v>
                </c:pt>
                <c:pt idx="1">
                  <c:v>152.56970809149882</c:v>
                </c:pt>
                <c:pt idx="2">
                  <c:v>156.46378147112063</c:v>
                </c:pt>
                <c:pt idx="3">
                  <c:v>159.82866587957497</c:v>
                </c:pt>
                <c:pt idx="4">
                  <c:v>155.49434389140274</c:v>
                </c:pt>
                <c:pt idx="5">
                  <c:v>151.59913043478264</c:v>
                </c:pt>
                <c:pt idx="6">
                  <c:v>158.85923076923078</c:v>
                </c:pt>
                <c:pt idx="7">
                  <c:v>160.79863903495206</c:v>
                </c:pt>
                <c:pt idx="8">
                  <c:v>152.56970809149882</c:v>
                </c:pt>
                <c:pt idx="9">
                  <c:v>156.46378147112063</c:v>
                </c:pt>
                <c:pt idx="10">
                  <c:v>151.59913043478264</c:v>
                </c:pt>
                <c:pt idx="11">
                  <c:v>155.49434389140274</c:v>
                </c:pt>
              </c:numCache>
            </c:numRef>
          </c:val>
          <c:smooth val="0"/>
          <c:extLst>
            <c:ext xmlns:c16="http://schemas.microsoft.com/office/drawing/2014/chart" uri="{C3380CC4-5D6E-409C-BE32-E72D297353CC}">
              <c16:uniqueId val="{00000005-8672-4DC0-8625-69240AC7F836}"/>
            </c:ext>
          </c:extLst>
        </c:ser>
        <c:ser>
          <c:idx val="6"/>
          <c:order val="6"/>
          <c:tx>
            <c:v>Prévision Y (5Y)</c:v>
          </c:tx>
          <c:spPr>
            <a:ln w="16000">
              <a:solidFill>
                <a:srgbClr val="BF8F00"/>
              </a:solidFill>
              <a:prstDash val="solid"/>
            </a:ln>
          </c:spPr>
          <c:marker>
            <c:symbol val="none"/>
          </c:marker>
          <c:cat>
            <c:strRef>
              <c:f>'Pipeline 3 méthodes'!$A$38:$A$49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méthodes'!$AA$38:$AA$49</c:f>
              <c:numCache>
                <c:formatCode>#,##0.0</c:formatCode>
                <c:ptCount val="12"/>
                <c:pt idx="0">
                  <c:v>147.74055933975052</c:v>
                </c:pt>
                <c:pt idx="1">
                  <c:v>149.70027941599221</c:v>
                </c:pt>
                <c:pt idx="2">
                  <c:v>153.67260742768769</c:v>
                </c:pt>
                <c:pt idx="3">
                  <c:v>156.71928330912795</c:v>
                </c:pt>
                <c:pt idx="4">
                  <c:v>152.69391114197629</c:v>
                </c:pt>
                <c:pt idx="5">
                  <c:v>148.72024030014882</c:v>
                </c:pt>
                <c:pt idx="6">
                  <c:v>155.73985673967761</c:v>
                </c:pt>
                <c:pt idx="7">
                  <c:v>157.69905475256488</c:v>
                </c:pt>
                <c:pt idx="8">
                  <c:v>149.70027941599221</c:v>
                </c:pt>
                <c:pt idx="9">
                  <c:v>153.67260742768769</c:v>
                </c:pt>
                <c:pt idx="10">
                  <c:v>148.72024030014882</c:v>
                </c:pt>
                <c:pt idx="11">
                  <c:v>152.69391114197629</c:v>
                </c:pt>
              </c:numCache>
            </c:numRef>
          </c:val>
          <c:smooth val="0"/>
          <c:extLst>
            <c:ext xmlns:c16="http://schemas.microsoft.com/office/drawing/2014/chart" uri="{C3380CC4-5D6E-409C-BE32-E72D297353CC}">
              <c16:uniqueId val="{00000006-8672-4DC0-8625-69240AC7F836}"/>
            </c:ext>
          </c:extLst>
        </c:ser>
        <c:ser>
          <c:idx val="7"/>
          <c:order val="7"/>
          <c:tx>
            <c:v>Prévision Y (Régime)</c:v>
          </c:tx>
          <c:spPr>
            <a:ln w="16000">
              <a:solidFill>
                <a:srgbClr val="2E7D32"/>
              </a:solidFill>
              <a:prstDash val="solid"/>
            </a:ln>
          </c:spPr>
          <c:marker>
            <c:symbol val="none"/>
          </c:marker>
          <c:cat>
            <c:strRef>
              <c:f>'Pipeline 3 méthodes'!$A$38:$A$49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méthodes'!$AB$38:$AB$49</c:f>
              <c:numCache>
                <c:formatCode>#,##0.0</c:formatCode>
                <c:ptCount val="12"/>
                <c:pt idx="0">
                  <c:v>149.26005380848457</c:v>
                </c:pt>
                <c:pt idx="1">
                  <c:v>151.53883325594236</c:v>
                </c:pt>
                <c:pt idx="2">
                  <c:v>154.95700242712903</c:v>
                </c:pt>
                <c:pt idx="3">
                  <c:v>158.37517159831569</c:v>
                </c:pt>
                <c:pt idx="4">
                  <c:v>153.81761270340013</c:v>
                </c:pt>
                <c:pt idx="5">
                  <c:v>150.39944353221347</c:v>
                </c:pt>
                <c:pt idx="6">
                  <c:v>157.23578187458682</c:v>
                </c:pt>
                <c:pt idx="7">
                  <c:v>159.51456132204459</c:v>
                </c:pt>
                <c:pt idx="8">
                  <c:v>151.53883325594236</c:v>
                </c:pt>
                <c:pt idx="9">
                  <c:v>154.95700242712903</c:v>
                </c:pt>
                <c:pt idx="10">
                  <c:v>150.39944353221347</c:v>
                </c:pt>
                <c:pt idx="11">
                  <c:v>153.81761270340013</c:v>
                </c:pt>
              </c:numCache>
            </c:numRef>
          </c:val>
          <c:smooth val="0"/>
          <c:extLst>
            <c:ext xmlns:c16="http://schemas.microsoft.com/office/drawing/2014/chart" uri="{C3380CC4-5D6E-409C-BE32-E72D297353CC}">
              <c16:uniqueId val="{00000007-8672-4DC0-8625-69240AC7F836}"/>
            </c:ext>
          </c:extLst>
        </c:ser>
        <c:ser>
          <c:idx val="8"/>
          <c:order val="8"/>
          <c:tx>
            <c:v>Prévision RETENUE</c:v>
          </c:tx>
          <c:spPr>
            <a:ln w="28000">
              <a:solidFill>
                <a:srgbClr val="C00000"/>
              </a:solidFill>
              <a:prstDash val="solid"/>
            </a:ln>
          </c:spPr>
          <c:marker>
            <c:symbol val="none"/>
          </c:marker>
          <c:cat>
            <c:strRef>
              <c:f>'Pipeline 3 méthodes'!$A$38:$A$49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méthodes'!$AC$38:$AC$49</c:f>
              <c:numCache>
                <c:formatCode>#,##0.0</c:formatCode>
                <c:ptCount val="12"/>
                <c:pt idx="0">
                  <c:v>149.26005380848457</c:v>
                </c:pt>
                <c:pt idx="1">
                  <c:v>151.53883325594236</c:v>
                </c:pt>
                <c:pt idx="2">
                  <c:v>154.95700242712903</c:v>
                </c:pt>
                <c:pt idx="3">
                  <c:v>158.37517159831569</c:v>
                </c:pt>
                <c:pt idx="4">
                  <c:v>153.81761270340013</c:v>
                </c:pt>
                <c:pt idx="5">
                  <c:v>150.39944353221347</c:v>
                </c:pt>
                <c:pt idx="6">
                  <c:v>157.23578187458682</c:v>
                </c:pt>
                <c:pt idx="7">
                  <c:v>159.51456132204459</c:v>
                </c:pt>
                <c:pt idx="8">
                  <c:v>151.53883325594236</c:v>
                </c:pt>
                <c:pt idx="9">
                  <c:v>154.95700242712903</c:v>
                </c:pt>
                <c:pt idx="10">
                  <c:v>150.39944353221347</c:v>
                </c:pt>
                <c:pt idx="11">
                  <c:v>153.81761270340013</c:v>
                </c:pt>
              </c:numCache>
            </c:numRef>
          </c:val>
          <c:smooth val="0"/>
          <c:extLst>
            <c:ext xmlns:c16="http://schemas.microsoft.com/office/drawing/2014/chart" uri="{C3380CC4-5D6E-409C-BE32-E72D297353CC}">
              <c16:uniqueId val="{00000008-8672-4DC0-8625-69240AC7F836}"/>
            </c:ext>
          </c:extLst>
        </c:ser>
        <c:ser>
          <c:idx val="9"/>
          <c:order val="9"/>
          <c:tx>
            <c:v>Prévision Y (Pente)</c:v>
          </c:tx>
          <c:spPr>
            <a:ln w="16000">
              <a:solidFill>
                <a:srgbClr val="7030A0"/>
              </a:solidFill>
              <a:prstDash val="dash"/>
            </a:ln>
          </c:spPr>
          <c:marker>
            <c:symbol val="none"/>
          </c:marker>
          <c:cat>
            <c:strRef>
              <c:f>'Pipeline 3 méthodes'!$A$38:$A$49</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méthodes'!$BA$38:$BA$49</c:f>
              <c:numCache>
                <c:formatCode>#,##0.0</c:formatCode>
                <c:ptCount val="12"/>
                <c:pt idx="0">
                  <c:v>150.53508771929825</c:v>
                </c:pt>
                <c:pt idx="1">
                  <c:v>152.49137931034483</c:v>
                </c:pt>
                <c:pt idx="2">
                  <c:v>156.74576271186442</c:v>
                </c:pt>
                <c:pt idx="3">
                  <c:v>159.67768595041321</c:v>
                </c:pt>
                <c:pt idx="4">
                  <c:v>155.76923076923075</c:v>
                </c:pt>
                <c:pt idx="5">
                  <c:v>151.51304347826087</c:v>
                </c:pt>
                <c:pt idx="6">
                  <c:v>158.69999999999999</c:v>
                </c:pt>
                <c:pt idx="7">
                  <c:v>160.65573770491801</c:v>
                </c:pt>
                <c:pt idx="8">
                  <c:v>152.49137931034483</c:v>
                </c:pt>
                <c:pt idx="9">
                  <c:v>156.74576271186442</c:v>
                </c:pt>
                <c:pt idx="10">
                  <c:v>151.51304347826087</c:v>
                </c:pt>
                <c:pt idx="11">
                  <c:v>155.76923076923075</c:v>
                </c:pt>
              </c:numCache>
            </c:numRef>
          </c:val>
          <c:smooth val="0"/>
          <c:extLst>
            <c:ext xmlns:c16="http://schemas.microsoft.com/office/drawing/2014/chart" uri="{C3380CC4-5D6E-409C-BE32-E72D297353CC}">
              <c16:uniqueId val="{00000009-8672-4DC0-8625-69240AC7F836}"/>
            </c:ext>
          </c:extLst>
        </c:ser>
        <c:dLbls>
          <c:showLegendKey val="0"/>
          <c:showVal val="0"/>
          <c:showCatName val="0"/>
          <c:showSerName val="0"/>
          <c:showPercent val="0"/>
          <c:showBubbleSize val="0"/>
        </c:dLbls>
        <c:smooth val="0"/>
        <c:axId val="10"/>
        <c:axId val="100"/>
      </c:lineChart>
      <c:catAx>
        <c:axId val="10"/>
        <c:scaling>
          <c:orientation val="minMax"/>
        </c:scaling>
        <c:delete val="0"/>
        <c:axPos val="b"/>
        <c:title>
          <c:tx>
            <c:rich>
              <a:bodyPr/>
              <a:lstStyle/>
              <a:p>
                <a:pPr>
                  <a:defRPr/>
                </a:pPr>
                <a:r>
                  <a:t>Mois</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title>
          <c:tx>
            <c:rich>
              <a:bodyPr/>
              <a:lstStyle/>
              <a:p>
                <a:pPr>
                  <a:defRPr/>
                </a:pPr>
                <a:r>
                  <a:t>Ventes</a:t>
                </a:r>
              </a:p>
            </c:rich>
          </c:tx>
          <c:overlay val="1"/>
        </c:title>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Produit D — historique 5Y + prévision Y par mois, 3 méthodes + retenue</a:t>
            </a:r>
          </a:p>
        </c:rich>
      </c:tx>
      <c:overlay val="1"/>
    </c:title>
    <c:autoTitleDeleted val="0"/>
    <c:plotArea>
      <c:layout/>
      <c:lineChart>
        <c:grouping val="standard"/>
        <c:varyColors val="1"/>
        <c:ser>
          <c:idx val="0"/>
          <c:order val="0"/>
          <c:tx>
            <c:v>Y-5</c:v>
          </c:tx>
          <c:spPr>
            <a:ln w="12700">
              <a:solidFill>
                <a:srgbClr val="BDD7EE"/>
              </a:solidFill>
              <a:prstDash val="solid"/>
            </a:ln>
          </c:spPr>
          <c:marker>
            <c:symbol val="none"/>
          </c:marker>
          <c:cat>
            <c:strRef>
              <c:f>'Pipeline 3 méthodes'!$A$53:$A$64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méthodes'!$B$53:$B$64</c:f>
              <c:numCache>
                <c:formatCode>#,##0.0</c:formatCode>
                <c:ptCount val="12"/>
                <c:pt idx="0">
                  <c:v>97</c:v>
                </c:pt>
                <c:pt idx="1">
                  <c:v>99</c:v>
                </c:pt>
                <c:pt idx="2">
                  <c:v>101</c:v>
                </c:pt>
                <c:pt idx="3">
                  <c:v>103</c:v>
                </c:pt>
                <c:pt idx="4">
                  <c:v>100</c:v>
                </c:pt>
                <c:pt idx="5">
                  <c:v>98</c:v>
                </c:pt>
                <c:pt idx="6">
                  <c:v>102</c:v>
                </c:pt>
                <c:pt idx="7">
                  <c:v>104</c:v>
                </c:pt>
                <c:pt idx="8">
                  <c:v>99</c:v>
                </c:pt>
                <c:pt idx="9">
                  <c:v>101</c:v>
                </c:pt>
                <c:pt idx="10">
                  <c:v>98</c:v>
                </c:pt>
                <c:pt idx="11">
                  <c:v>100</c:v>
                </c:pt>
              </c:numCache>
            </c:numRef>
          </c:val>
          <c:smooth val="0"/>
          <c:extLst>
            <c:ext xmlns:c16="http://schemas.microsoft.com/office/drawing/2014/chart" uri="{C3380CC4-5D6E-409C-BE32-E72D297353CC}">
              <c16:uniqueId val="{00000000-CC79-4D51-8FB8-AEB2CA259840}"/>
            </c:ext>
          </c:extLst>
        </c:ser>
        <c:ser>
          <c:idx val="1"/>
          <c:order val="1"/>
          <c:tx>
            <c:v>Y-4</c:v>
          </c:tx>
          <c:spPr>
            <a:ln w="12700">
              <a:solidFill>
                <a:srgbClr val="9DC3E6"/>
              </a:solidFill>
              <a:prstDash val="solid"/>
            </a:ln>
          </c:spPr>
          <c:marker>
            <c:symbol val="none"/>
          </c:marker>
          <c:cat>
            <c:strRef>
              <c:f>'Pipeline 3 méthodes'!$A$53:$A$64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méthodes'!$C$53:$C$64</c:f>
              <c:numCache>
                <c:formatCode>#,##0.0</c:formatCode>
                <c:ptCount val="12"/>
                <c:pt idx="0">
                  <c:v>102</c:v>
                </c:pt>
                <c:pt idx="1">
                  <c:v>104</c:v>
                </c:pt>
                <c:pt idx="2">
                  <c:v>106</c:v>
                </c:pt>
                <c:pt idx="3">
                  <c:v>108</c:v>
                </c:pt>
                <c:pt idx="4">
                  <c:v>105</c:v>
                </c:pt>
                <c:pt idx="5">
                  <c:v>103</c:v>
                </c:pt>
                <c:pt idx="6">
                  <c:v>107</c:v>
                </c:pt>
                <c:pt idx="7">
                  <c:v>109</c:v>
                </c:pt>
                <c:pt idx="8">
                  <c:v>104</c:v>
                </c:pt>
                <c:pt idx="9">
                  <c:v>106</c:v>
                </c:pt>
                <c:pt idx="10">
                  <c:v>103</c:v>
                </c:pt>
                <c:pt idx="11">
                  <c:v>105</c:v>
                </c:pt>
              </c:numCache>
            </c:numRef>
          </c:val>
          <c:smooth val="0"/>
          <c:extLst>
            <c:ext xmlns:c16="http://schemas.microsoft.com/office/drawing/2014/chart" uri="{C3380CC4-5D6E-409C-BE32-E72D297353CC}">
              <c16:uniqueId val="{00000001-CC79-4D51-8FB8-AEB2CA259840}"/>
            </c:ext>
          </c:extLst>
        </c:ser>
        <c:ser>
          <c:idx val="2"/>
          <c:order val="2"/>
          <c:tx>
            <c:v>Y-3</c:v>
          </c:tx>
          <c:spPr>
            <a:ln w="12700">
              <a:solidFill>
                <a:srgbClr val="6FA8DC"/>
              </a:solidFill>
              <a:prstDash val="solid"/>
            </a:ln>
          </c:spPr>
          <c:marker>
            <c:symbol val="none"/>
          </c:marker>
          <c:cat>
            <c:strRef>
              <c:f>'Pipeline 3 méthodes'!$A$53:$A$64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méthodes'!$D$53:$D$64</c:f>
              <c:numCache>
                <c:formatCode>#,##0.0</c:formatCode>
                <c:ptCount val="12"/>
                <c:pt idx="0">
                  <c:v>107</c:v>
                </c:pt>
                <c:pt idx="1">
                  <c:v>109</c:v>
                </c:pt>
                <c:pt idx="2">
                  <c:v>111</c:v>
                </c:pt>
                <c:pt idx="3">
                  <c:v>113</c:v>
                </c:pt>
                <c:pt idx="4">
                  <c:v>110</c:v>
                </c:pt>
                <c:pt idx="5">
                  <c:v>108</c:v>
                </c:pt>
                <c:pt idx="6">
                  <c:v>112</c:v>
                </c:pt>
                <c:pt idx="7">
                  <c:v>114</c:v>
                </c:pt>
                <c:pt idx="8">
                  <c:v>109</c:v>
                </c:pt>
                <c:pt idx="9">
                  <c:v>111</c:v>
                </c:pt>
                <c:pt idx="10">
                  <c:v>108</c:v>
                </c:pt>
                <c:pt idx="11">
                  <c:v>110</c:v>
                </c:pt>
              </c:numCache>
            </c:numRef>
          </c:val>
          <c:smooth val="0"/>
          <c:extLst>
            <c:ext xmlns:c16="http://schemas.microsoft.com/office/drawing/2014/chart" uri="{C3380CC4-5D6E-409C-BE32-E72D297353CC}">
              <c16:uniqueId val="{00000002-CC79-4D51-8FB8-AEB2CA259840}"/>
            </c:ext>
          </c:extLst>
        </c:ser>
        <c:ser>
          <c:idx val="3"/>
          <c:order val="3"/>
          <c:tx>
            <c:v>Y-2</c:v>
          </c:tx>
          <c:spPr>
            <a:ln w="12700">
              <a:solidFill>
                <a:srgbClr val="2E75B6"/>
              </a:solidFill>
              <a:prstDash val="solid"/>
            </a:ln>
          </c:spPr>
          <c:marker>
            <c:symbol val="none"/>
          </c:marker>
          <c:cat>
            <c:strRef>
              <c:f>'Pipeline 3 méthodes'!$A$53:$A$64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méthodes'!$E$53:$E$64</c:f>
              <c:numCache>
                <c:formatCode>#,##0.0</c:formatCode>
                <c:ptCount val="12"/>
                <c:pt idx="0">
                  <c:v>112</c:v>
                </c:pt>
                <c:pt idx="1">
                  <c:v>114</c:v>
                </c:pt>
                <c:pt idx="2">
                  <c:v>117</c:v>
                </c:pt>
                <c:pt idx="3">
                  <c:v>119</c:v>
                </c:pt>
                <c:pt idx="4">
                  <c:v>116</c:v>
                </c:pt>
                <c:pt idx="5">
                  <c:v>113</c:v>
                </c:pt>
                <c:pt idx="6">
                  <c:v>118</c:v>
                </c:pt>
                <c:pt idx="7">
                  <c:v>120</c:v>
                </c:pt>
                <c:pt idx="8">
                  <c:v>114</c:v>
                </c:pt>
                <c:pt idx="9">
                  <c:v>117</c:v>
                </c:pt>
                <c:pt idx="10">
                  <c:v>113</c:v>
                </c:pt>
                <c:pt idx="11">
                  <c:v>116</c:v>
                </c:pt>
              </c:numCache>
            </c:numRef>
          </c:val>
          <c:smooth val="0"/>
          <c:extLst>
            <c:ext xmlns:c16="http://schemas.microsoft.com/office/drawing/2014/chart" uri="{C3380CC4-5D6E-409C-BE32-E72D297353CC}">
              <c16:uniqueId val="{00000003-CC79-4D51-8FB8-AEB2CA259840}"/>
            </c:ext>
          </c:extLst>
        </c:ser>
        <c:ser>
          <c:idx val="4"/>
          <c:order val="4"/>
          <c:tx>
            <c:v>Y-1</c:v>
          </c:tx>
          <c:spPr>
            <a:ln w="12700">
              <a:solidFill>
                <a:srgbClr val="1F4E79"/>
              </a:solidFill>
              <a:prstDash val="solid"/>
            </a:ln>
          </c:spPr>
          <c:marker>
            <c:symbol val="none"/>
          </c:marker>
          <c:cat>
            <c:strRef>
              <c:f>'Pipeline 3 méthodes'!$A$53:$A$64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méthodes'!$F$53:$F$64</c:f>
              <c:numCache>
                <c:formatCode>#,##0.0</c:formatCode>
                <c:ptCount val="12"/>
                <c:pt idx="0">
                  <c:v>118</c:v>
                </c:pt>
                <c:pt idx="1">
                  <c:v>120</c:v>
                </c:pt>
                <c:pt idx="2">
                  <c:v>123</c:v>
                </c:pt>
                <c:pt idx="3">
                  <c:v>125</c:v>
                </c:pt>
                <c:pt idx="4">
                  <c:v>122</c:v>
                </c:pt>
                <c:pt idx="5">
                  <c:v>119</c:v>
                </c:pt>
                <c:pt idx="6">
                  <c:v>124</c:v>
                </c:pt>
                <c:pt idx="7">
                  <c:v>126</c:v>
                </c:pt>
                <c:pt idx="8">
                  <c:v>120</c:v>
                </c:pt>
                <c:pt idx="9">
                  <c:v>140</c:v>
                </c:pt>
                <c:pt idx="10">
                  <c:v>136</c:v>
                </c:pt>
                <c:pt idx="11">
                  <c:v>139</c:v>
                </c:pt>
              </c:numCache>
            </c:numRef>
          </c:val>
          <c:smooth val="0"/>
          <c:extLst>
            <c:ext xmlns:c16="http://schemas.microsoft.com/office/drawing/2014/chart" uri="{C3380CC4-5D6E-409C-BE32-E72D297353CC}">
              <c16:uniqueId val="{00000004-CC79-4D51-8FB8-AEB2CA259840}"/>
            </c:ext>
          </c:extLst>
        </c:ser>
        <c:ser>
          <c:idx val="5"/>
          <c:order val="5"/>
          <c:tx>
            <c:v>Prévision Y (3Y)</c:v>
          </c:tx>
          <c:spPr>
            <a:ln w="16000">
              <a:solidFill>
                <a:srgbClr val="A6A6A6"/>
              </a:solidFill>
              <a:prstDash val="solid"/>
            </a:ln>
          </c:spPr>
          <c:marker>
            <c:symbol val="none"/>
          </c:marker>
          <c:cat>
            <c:strRef>
              <c:f>'Pipeline 3 méthodes'!$A$53:$A$64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méthodes'!$Z$53:$Z$64</c:f>
              <c:numCache>
                <c:formatCode>#,##0.0</c:formatCode>
                <c:ptCount val="12"/>
                <c:pt idx="0">
                  <c:v>124.07920560747664</c:v>
                </c:pt>
                <c:pt idx="1">
                  <c:v>126.07242877836794</c:v>
                </c:pt>
                <c:pt idx="2">
                  <c:v>129.40997920997924</c:v>
                </c:pt>
                <c:pt idx="3">
                  <c:v>131.40291514836022</c:v>
                </c:pt>
                <c:pt idx="4">
                  <c:v>128.41360501567399</c:v>
                </c:pt>
                <c:pt idx="5">
                  <c:v>125.07578662733529</c:v>
                </c:pt>
                <c:pt idx="6">
                  <c:v>130.40641646489104</c:v>
                </c:pt>
                <c:pt idx="7">
                  <c:v>132.39947368421053</c:v>
                </c:pt>
                <c:pt idx="8">
                  <c:v>126.07242877836794</c:v>
                </c:pt>
                <c:pt idx="9">
                  <c:v>161.53522753522756</c:v>
                </c:pt>
                <c:pt idx="10">
                  <c:v>157.26588003933136</c:v>
                </c:pt>
                <c:pt idx="11">
                  <c:v>160.56678683385582</c:v>
                </c:pt>
              </c:numCache>
            </c:numRef>
          </c:val>
          <c:smooth val="0"/>
          <c:extLst>
            <c:ext xmlns:c16="http://schemas.microsoft.com/office/drawing/2014/chart" uri="{C3380CC4-5D6E-409C-BE32-E72D297353CC}">
              <c16:uniqueId val="{00000005-CC79-4D51-8FB8-AEB2CA259840}"/>
            </c:ext>
          </c:extLst>
        </c:ser>
        <c:ser>
          <c:idx val="6"/>
          <c:order val="6"/>
          <c:tx>
            <c:v>Prévision Y (5Y)</c:v>
          </c:tx>
          <c:spPr>
            <a:ln w="16000">
              <a:solidFill>
                <a:srgbClr val="BF8F00"/>
              </a:solidFill>
              <a:prstDash val="solid"/>
            </a:ln>
          </c:spPr>
          <c:marker>
            <c:symbol val="none"/>
          </c:marker>
          <c:cat>
            <c:strRef>
              <c:f>'Pipeline 3 méthodes'!$A$53:$A$64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méthodes'!$AA$53:$AA$64</c:f>
              <c:numCache>
                <c:formatCode>#,##0.0</c:formatCode>
                <c:ptCount val="12"/>
                <c:pt idx="0">
                  <c:v>124.2025554707153</c:v>
                </c:pt>
                <c:pt idx="1">
                  <c:v>126.19470799618144</c:v>
                </c:pt>
                <c:pt idx="2">
                  <c:v>129.27882369688021</c:v>
                </c:pt>
                <c:pt idx="3">
                  <c:v>131.27125492084417</c:v>
                </c:pt>
                <c:pt idx="4">
                  <c:v>128.28271135457956</c:v>
                </c:pt>
                <c:pt idx="5">
                  <c:v>125.19859527820459</c:v>
                </c:pt>
                <c:pt idx="6">
                  <c:v>130.27500550275963</c:v>
                </c:pt>
                <c:pt idx="7">
                  <c:v>132.26757016518826</c:v>
                </c:pt>
                <c:pt idx="8">
                  <c:v>126.19470799618144</c:v>
                </c:pt>
                <c:pt idx="9">
                  <c:v>162.83725812725916</c:v>
                </c:pt>
                <c:pt idx="10">
                  <c:v>158.86012740738468</c:v>
                </c:pt>
                <c:pt idx="11">
                  <c:v>161.87050409581013</c:v>
                </c:pt>
              </c:numCache>
            </c:numRef>
          </c:val>
          <c:smooth val="0"/>
          <c:extLst>
            <c:ext xmlns:c16="http://schemas.microsoft.com/office/drawing/2014/chart" uri="{C3380CC4-5D6E-409C-BE32-E72D297353CC}">
              <c16:uniqueId val="{00000006-CC79-4D51-8FB8-AEB2CA259840}"/>
            </c:ext>
          </c:extLst>
        </c:ser>
        <c:ser>
          <c:idx val="7"/>
          <c:order val="7"/>
          <c:tx>
            <c:v>Prévision Y (Régime)</c:v>
          </c:tx>
          <c:spPr>
            <a:ln w="16000">
              <a:solidFill>
                <a:srgbClr val="2E7D32"/>
              </a:solidFill>
              <a:prstDash val="solid"/>
            </a:ln>
          </c:spPr>
          <c:marker>
            <c:symbol val="none"/>
          </c:marker>
          <c:cat>
            <c:strRef>
              <c:f>'Pipeline 3 méthodes'!$A$53:$A$64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méthodes'!$AB$53:$AB$64</c:f>
              <c:numCache>
                <c:formatCode>#,##0.0</c:formatCode>
                <c:ptCount val="12"/>
                <c:pt idx="0">
                  <c:v>124.93208464174558</c:v>
                </c:pt>
                <c:pt idx="1">
                  <c:v>127.04957760177516</c:v>
                </c:pt>
                <c:pt idx="2">
                  <c:v>130.22581704181954</c:v>
                </c:pt>
                <c:pt idx="3">
                  <c:v>132.34331000184912</c:v>
                </c:pt>
                <c:pt idx="4">
                  <c:v>129.16707056180474</c:v>
                </c:pt>
                <c:pt idx="5">
                  <c:v>125.99083112176037</c:v>
                </c:pt>
                <c:pt idx="6">
                  <c:v>131.28456352183434</c:v>
                </c:pt>
                <c:pt idx="7">
                  <c:v>133.40205648186392</c:v>
                </c:pt>
                <c:pt idx="8">
                  <c:v>127.04957760177516</c:v>
                </c:pt>
                <c:pt idx="9">
                  <c:v>148.22450720207101</c:v>
                </c:pt>
                <c:pt idx="10">
                  <c:v>143.98952128201185</c:v>
                </c:pt>
                <c:pt idx="11">
                  <c:v>147.16576072205623</c:v>
                </c:pt>
              </c:numCache>
            </c:numRef>
          </c:val>
          <c:smooth val="0"/>
          <c:extLst>
            <c:ext xmlns:c16="http://schemas.microsoft.com/office/drawing/2014/chart" uri="{C3380CC4-5D6E-409C-BE32-E72D297353CC}">
              <c16:uniqueId val="{00000007-CC79-4D51-8FB8-AEB2CA259840}"/>
            </c:ext>
          </c:extLst>
        </c:ser>
        <c:ser>
          <c:idx val="8"/>
          <c:order val="8"/>
          <c:tx>
            <c:v>Prévision RETENUE</c:v>
          </c:tx>
          <c:spPr>
            <a:ln w="28000">
              <a:solidFill>
                <a:srgbClr val="C00000"/>
              </a:solidFill>
              <a:prstDash val="solid"/>
            </a:ln>
          </c:spPr>
          <c:marker>
            <c:symbol val="none"/>
          </c:marker>
          <c:cat>
            <c:strRef>
              <c:f>'Pipeline 3 méthodes'!$A$53:$A$64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méthodes'!$AC$53:$AC$64</c:f>
              <c:numCache>
                <c:formatCode>#,##0.0</c:formatCode>
                <c:ptCount val="12"/>
                <c:pt idx="0">
                  <c:v>124.93208464174558</c:v>
                </c:pt>
                <c:pt idx="1">
                  <c:v>127.04957760177516</c:v>
                </c:pt>
                <c:pt idx="2">
                  <c:v>130.22581704181954</c:v>
                </c:pt>
                <c:pt idx="3">
                  <c:v>132.34331000184912</c:v>
                </c:pt>
                <c:pt idx="4">
                  <c:v>129.16707056180474</c:v>
                </c:pt>
                <c:pt idx="5">
                  <c:v>125.99083112176037</c:v>
                </c:pt>
                <c:pt idx="6">
                  <c:v>131.28456352183434</c:v>
                </c:pt>
                <c:pt idx="7">
                  <c:v>133.40205648186392</c:v>
                </c:pt>
                <c:pt idx="8">
                  <c:v>127.04957760177516</c:v>
                </c:pt>
                <c:pt idx="9">
                  <c:v>148.22450720207101</c:v>
                </c:pt>
                <c:pt idx="10">
                  <c:v>143.98952128201185</c:v>
                </c:pt>
                <c:pt idx="11">
                  <c:v>147.16576072205623</c:v>
                </c:pt>
              </c:numCache>
            </c:numRef>
          </c:val>
          <c:smooth val="0"/>
          <c:extLst>
            <c:ext xmlns:c16="http://schemas.microsoft.com/office/drawing/2014/chart" uri="{C3380CC4-5D6E-409C-BE32-E72D297353CC}">
              <c16:uniqueId val="{00000008-CC79-4D51-8FB8-AEB2CA259840}"/>
            </c:ext>
          </c:extLst>
        </c:ser>
        <c:ser>
          <c:idx val="9"/>
          <c:order val="9"/>
          <c:tx>
            <c:v>Prévision Y (Pente)</c:v>
          </c:tx>
          <c:spPr>
            <a:ln w="16000">
              <a:solidFill>
                <a:srgbClr val="7030A0"/>
              </a:solidFill>
              <a:prstDash val="dash"/>
            </a:ln>
          </c:spPr>
          <c:marker>
            <c:symbol val="none"/>
          </c:marker>
          <c:cat>
            <c:strRef>
              <c:f>'Pipeline 3 méthodes'!$A$53:$A$64</c:f>
              <c:strCache>
                <c:ptCount val="12"/>
                <c:pt idx="0">
                  <c:v>Jan</c:v>
                </c:pt>
                <c:pt idx="1">
                  <c:v>Fév</c:v>
                </c:pt>
                <c:pt idx="2">
                  <c:v>Mar</c:v>
                </c:pt>
                <c:pt idx="3">
                  <c:v>Avr</c:v>
                </c:pt>
                <c:pt idx="4">
                  <c:v>Mai</c:v>
                </c:pt>
                <c:pt idx="5">
                  <c:v>Jun</c:v>
                </c:pt>
                <c:pt idx="6">
                  <c:v>Jul</c:v>
                </c:pt>
                <c:pt idx="7">
                  <c:v>Aoû</c:v>
                </c:pt>
                <c:pt idx="8">
                  <c:v>Sep</c:v>
                </c:pt>
                <c:pt idx="9">
                  <c:v>Oct</c:v>
                </c:pt>
                <c:pt idx="10">
                  <c:v>Nov</c:v>
                </c:pt>
                <c:pt idx="11">
                  <c:v>Déc</c:v>
                </c:pt>
              </c:strCache>
            </c:strRef>
          </c:cat>
          <c:val>
            <c:numRef>
              <c:f>'Pipeline 3 méthodes'!$BA$53:$BA$64</c:f>
              <c:numCache>
                <c:formatCode>#,##0.0</c:formatCode>
                <c:ptCount val="12"/>
                <c:pt idx="0">
                  <c:v>124.32142857142857</c:v>
                </c:pt>
                <c:pt idx="1">
                  <c:v>126.31578947368421</c:v>
                </c:pt>
                <c:pt idx="2">
                  <c:v>129.30769230769232</c:v>
                </c:pt>
                <c:pt idx="3">
                  <c:v>131.30252100840337</c:v>
                </c:pt>
                <c:pt idx="4">
                  <c:v>128.31034482758619</c:v>
                </c:pt>
                <c:pt idx="5">
                  <c:v>125.31858407079648</c:v>
                </c:pt>
                <c:pt idx="6">
                  <c:v>130.30508474576271</c:v>
                </c:pt>
                <c:pt idx="7">
                  <c:v>132.30000000000001</c:v>
                </c:pt>
                <c:pt idx="8">
                  <c:v>126.31578947368421</c:v>
                </c:pt>
                <c:pt idx="9">
                  <c:v>155.70632381651134</c:v>
                </c:pt>
                <c:pt idx="10">
                  <c:v>151.79766274136088</c:v>
                </c:pt>
                <c:pt idx="11">
                  <c:v>154.72856799433032</c:v>
                </c:pt>
              </c:numCache>
            </c:numRef>
          </c:val>
          <c:smooth val="0"/>
          <c:extLst>
            <c:ext xmlns:c16="http://schemas.microsoft.com/office/drawing/2014/chart" uri="{C3380CC4-5D6E-409C-BE32-E72D297353CC}">
              <c16:uniqueId val="{00000009-CC79-4D51-8FB8-AEB2CA259840}"/>
            </c:ext>
          </c:extLst>
        </c:ser>
        <c:dLbls>
          <c:showLegendKey val="0"/>
          <c:showVal val="0"/>
          <c:showCatName val="0"/>
          <c:showSerName val="0"/>
          <c:showPercent val="0"/>
          <c:showBubbleSize val="0"/>
        </c:dLbls>
        <c:smooth val="0"/>
        <c:axId val="10"/>
        <c:axId val="100"/>
      </c:lineChart>
      <c:catAx>
        <c:axId val="10"/>
        <c:scaling>
          <c:orientation val="minMax"/>
        </c:scaling>
        <c:delete val="0"/>
        <c:axPos val="b"/>
        <c:title>
          <c:tx>
            <c:rich>
              <a:bodyPr/>
              <a:lstStyle/>
              <a:p>
                <a:pPr>
                  <a:defRPr/>
                </a:pPr>
                <a:r>
                  <a:t>Mois</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title>
          <c:tx>
            <c:rich>
              <a:bodyPr/>
              <a:lstStyle/>
              <a:p>
                <a:pPr>
                  <a:defRPr/>
                </a:pPr>
                <a:r>
                  <a:t>Ventes</a:t>
                </a:r>
              </a:p>
            </c:rich>
          </c:tx>
          <c:overlay val="1"/>
        </c:title>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9360000" cy="3240000"/>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0</xdr:colOff>
      <xdr:row>22</xdr:row>
      <xdr:rowOff>0</xdr:rowOff>
    </xdr:from>
    <xdr:ext cx="9360000" cy="3240000"/>
    <xdr:graphicFrame macro="">
      <xdr:nvGraphicFramePr>
        <xdr:cNvPr id="3" name="Chart 2">
          <a:extLst>
            <a:ext uri="{FF2B5EF4-FFF2-40B4-BE49-F238E27FC236}">
              <a16:creationId xmlns:a16="http://schemas.microsoft.com/office/drawing/2014/main" id="{00000000-0008-0000-0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0</xdr:col>
      <xdr:colOff>0</xdr:colOff>
      <xdr:row>41</xdr:row>
      <xdr:rowOff>0</xdr:rowOff>
    </xdr:from>
    <xdr:ext cx="9360000" cy="3240000"/>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0</xdr:col>
      <xdr:colOff>0</xdr:colOff>
      <xdr:row>60</xdr:row>
      <xdr:rowOff>0</xdr:rowOff>
    </xdr:from>
    <xdr:ext cx="9360000" cy="3240000"/>
    <xdr:graphicFrame macro="">
      <xdr:nvGraphicFramePr>
        <xdr:cNvPr id="5" name="Chart 4">
          <a:extLst>
            <a:ext uri="{FF2B5EF4-FFF2-40B4-BE49-F238E27FC236}">
              <a16:creationId xmlns:a16="http://schemas.microsoft.com/office/drawing/2014/main" id="{00000000-0008-0000-0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2</xdr:row>
      <xdr:rowOff>0</xdr:rowOff>
    </xdr:from>
    <xdr:ext cx="7920000" cy="3600000"/>
    <xdr:graphicFrame macro="">
      <xdr:nvGraphicFramePr>
        <xdr:cNvPr id="2" name="Chart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23</xdr:row>
      <xdr:rowOff>0</xdr:rowOff>
    </xdr:from>
    <xdr:ext cx="7920000" cy="3600000"/>
    <xdr:graphicFrame macro="">
      <xdr:nvGraphicFramePr>
        <xdr:cNvPr id="3" name="Chart 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44</xdr:row>
      <xdr:rowOff>0</xdr:rowOff>
    </xdr:from>
    <xdr:ext cx="7920000" cy="3600000"/>
    <xdr:graphicFrame macro="">
      <xdr:nvGraphicFramePr>
        <xdr:cNvPr id="4" name="Chart 3">
          <a:extLst>
            <a:ext uri="{FF2B5EF4-FFF2-40B4-BE49-F238E27FC236}">
              <a16:creationId xmlns:a16="http://schemas.microsoft.com/office/drawing/2014/main" i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8</xdr:col>
      <xdr:colOff>0</xdr:colOff>
      <xdr:row>65</xdr:row>
      <xdr:rowOff>0</xdr:rowOff>
    </xdr:from>
    <xdr:ext cx="7920000" cy="3600000"/>
    <xdr:graphicFrame macro="">
      <xdr:nvGraphicFramePr>
        <xdr:cNvPr id="5" name="Chart 4">
          <a:extLst>
            <a:ext uri="{FF2B5EF4-FFF2-40B4-BE49-F238E27FC236}">
              <a16:creationId xmlns:a16="http://schemas.microsoft.com/office/drawing/2014/main" id="{00000000-0008-0000-0E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workbookViewId="0">
      <selection sqref="A1:I1"/>
    </sheetView>
  </sheetViews>
  <sheetFormatPr defaultRowHeight="14.4" x14ac:dyDescent="0.3"/>
  <cols>
    <col min="1" max="1" width="15.33203125" customWidth="1"/>
    <col min="2" max="2" width="8.21875" customWidth="1"/>
    <col min="3" max="3" width="11" customWidth="1"/>
    <col min="4" max="4" width="11.5546875" customWidth="1"/>
    <col min="7" max="7" width="25.77734375" customWidth="1"/>
    <col min="8" max="8" width="43.109375" customWidth="1"/>
    <col min="9" max="9" width="72.5546875" customWidth="1"/>
  </cols>
  <sheetData>
    <row r="1" spans="1:9" ht="40.049999999999997" customHeight="1" x14ac:dyDescent="0.3">
      <c r="A1" s="372" t="s">
        <v>0</v>
      </c>
      <c r="B1" s="373"/>
      <c r="C1" s="373"/>
      <c r="D1" s="373"/>
      <c r="E1" s="373"/>
      <c r="F1" s="373"/>
      <c r="G1" s="373"/>
      <c r="H1" s="373"/>
      <c r="I1" s="374"/>
    </row>
    <row r="3" spans="1:9" ht="19.5" customHeight="1" x14ac:dyDescent="0.3">
      <c r="A3" s="377" t="s">
        <v>1</v>
      </c>
      <c r="B3" s="378"/>
      <c r="C3" s="378"/>
      <c r="D3" s="378"/>
    </row>
    <row r="4" spans="1:9" ht="33.75" customHeight="1" x14ac:dyDescent="0.3">
      <c r="A4" s="1" t="s">
        <v>2</v>
      </c>
      <c r="B4" s="1" t="s">
        <v>3</v>
      </c>
      <c r="C4" s="1" t="s">
        <v>4</v>
      </c>
      <c r="D4" s="1" t="s">
        <v>5</v>
      </c>
      <c r="G4" s="2"/>
      <c r="H4" s="2" t="s">
        <v>6</v>
      </c>
      <c r="I4" s="2" t="s">
        <v>7</v>
      </c>
    </row>
    <row r="5" spans="1:9" ht="18" customHeight="1" x14ac:dyDescent="0.3">
      <c r="A5" s="3" t="s">
        <v>8</v>
      </c>
      <c r="B5" s="4">
        <v>81</v>
      </c>
      <c r="C5" s="4">
        <v>83</v>
      </c>
      <c r="D5" s="4">
        <v>85</v>
      </c>
      <c r="G5" s="5" t="s">
        <v>9</v>
      </c>
      <c r="H5" s="5" t="s">
        <v>10</v>
      </c>
      <c r="I5" s="5" t="s">
        <v>11</v>
      </c>
    </row>
    <row r="6" spans="1:9" ht="18" customHeight="1" x14ac:dyDescent="0.3">
      <c r="A6" s="6" t="s">
        <v>12</v>
      </c>
      <c r="B6" s="7">
        <v>83</v>
      </c>
      <c r="C6" s="7">
        <v>85</v>
      </c>
      <c r="D6" s="7">
        <v>87</v>
      </c>
      <c r="G6" s="5" t="s">
        <v>13</v>
      </c>
      <c r="H6" s="5" t="s">
        <v>14</v>
      </c>
      <c r="I6" s="5" t="s">
        <v>15</v>
      </c>
    </row>
    <row r="7" spans="1:9" ht="18" customHeight="1" x14ac:dyDescent="0.3">
      <c r="A7" s="3" t="s">
        <v>16</v>
      </c>
      <c r="B7" s="4">
        <v>86</v>
      </c>
      <c r="C7" s="4">
        <v>88</v>
      </c>
      <c r="D7" s="4">
        <v>90</v>
      </c>
      <c r="G7" s="5" t="s">
        <v>17</v>
      </c>
      <c r="H7" s="5" t="s">
        <v>18</v>
      </c>
      <c r="I7" s="5" t="s">
        <v>19</v>
      </c>
    </row>
    <row r="8" spans="1:9" ht="18" customHeight="1" x14ac:dyDescent="0.3">
      <c r="A8" s="6" t="s">
        <v>20</v>
      </c>
      <c r="B8" s="7">
        <v>84</v>
      </c>
      <c r="C8" s="7">
        <v>86</v>
      </c>
      <c r="D8" s="7">
        <v>88</v>
      </c>
    </row>
    <row r="9" spans="1:9" ht="18" customHeight="1" x14ac:dyDescent="0.3">
      <c r="A9" s="3" t="s">
        <v>21</v>
      </c>
      <c r="B9" s="4">
        <v>82</v>
      </c>
      <c r="C9" s="4">
        <v>84</v>
      </c>
      <c r="D9" s="4">
        <v>86</v>
      </c>
    </row>
    <row r="10" spans="1:9" ht="18" customHeight="1" x14ac:dyDescent="0.3">
      <c r="A10" s="6" t="s">
        <v>22</v>
      </c>
      <c r="B10" s="7">
        <v>79</v>
      </c>
      <c r="C10" s="7">
        <v>81</v>
      </c>
      <c r="D10" s="7">
        <v>83</v>
      </c>
    </row>
    <row r="11" spans="1:9" ht="18" customHeight="1" x14ac:dyDescent="0.3">
      <c r="A11" s="3" t="s">
        <v>23</v>
      </c>
      <c r="B11" s="4">
        <v>80</v>
      </c>
      <c r="C11" s="4">
        <v>82</v>
      </c>
      <c r="D11" s="4">
        <v>84</v>
      </c>
    </row>
    <row r="12" spans="1:9" ht="18" customHeight="1" x14ac:dyDescent="0.3">
      <c r="A12" s="6" t="s">
        <v>24</v>
      </c>
      <c r="B12" s="7">
        <v>87</v>
      </c>
      <c r="C12" s="7">
        <v>89</v>
      </c>
      <c r="D12" s="7">
        <v>91</v>
      </c>
    </row>
    <row r="13" spans="1:9" ht="18" customHeight="1" x14ac:dyDescent="0.3">
      <c r="A13" s="3" t="s">
        <v>25</v>
      </c>
      <c r="B13" s="4">
        <v>95</v>
      </c>
      <c r="C13" s="4">
        <v>97</v>
      </c>
      <c r="D13" s="4">
        <v>99</v>
      </c>
    </row>
    <row r="14" spans="1:9" ht="18" customHeight="1" x14ac:dyDescent="0.3">
      <c r="A14" s="6" t="s">
        <v>26</v>
      </c>
      <c r="B14" s="7">
        <v>120</v>
      </c>
      <c r="C14" s="7">
        <v>123</v>
      </c>
      <c r="D14" s="7">
        <v>126</v>
      </c>
    </row>
    <row r="15" spans="1:9" ht="18" customHeight="1" x14ac:dyDescent="0.3">
      <c r="A15" s="3" t="s">
        <v>27</v>
      </c>
      <c r="B15" s="4">
        <v>100</v>
      </c>
      <c r="C15" s="4">
        <v>102</v>
      </c>
      <c r="D15" s="4">
        <v>104</v>
      </c>
    </row>
    <row r="16" spans="1:9" ht="18" customHeight="1" x14ac:dyDescent="0.3">
      <c r="A16" s="6" t="s">
        <v>28</v>
      </c>
      <c r="B16" s="7">
        <v>90</v>
      </c>
      <c r="C16" s="7">
        <v>92</v>
      </c>
      <c r="D16" s="7">
        <v>94</v>
      </c>
    </row>
    <row r="17" spans="1:4" ht="19.5" customHeight="1" x14ac:dyDescent="0.3">
      <c r="A17" s="8" t="s">
        <v>29</v>
      </c>
      <c r="B17" s="9">
        <f>SUM(B5:B16)</f>
        <v>1067</v>
      </c>
      <c r="C17" s="9">
        <f>SUM(C5:C16)</f>
        <v>1092</v>
      </c>
      <c r="D17" s="9">
        <f>SUM(D5:D16)</f>
        <v>1117</v>
      </c>
    </row>
    <row r="18" spans="1:4" ht="6" customHeight="1" x14ac:dyDescent="0.3"/>
    <row r="19" spans="1:4" ht="19.5" customHeight="1" x14ac:dyDescent="0.3">
      <c r="A19" s="379" t="s">
        <v>30</v>
      </c>
      <c r="B19" s="378"/>
      <c r="C19" s="378"/>
      <c r="D19" s="378"/>
    </row>
    <row r="20" spans="1:4" ht="33.75" customHeight="1" x14ac:dyDescent="0.3">
      <c r="A20" s="10" t="s">
        <v>2</v>
      </c>
      <c r="B20" s="10" t="s">
        <v>3</v>
      </c>
      <c r="C20" s="10" t="s">
        <v>4</v>
      </c>
      <c r="D20" s="10" t="s">
        <v>5</v>
      </c>
    </row>
    <row r="21" spans="1:4" ht="18" customHeight="1" x14ac:dyDescent="0.3">
      <c r="A21" s="11" t="s">
        <v>8</v>
      </c>
      <c r="B21" s="12">
        <v>55</v>
      </c>
      <c r="C21" s="12">
        <v>58</v>
      </c>
      <c r="D21" s="12">
        <v>61</v>
      </c>
    </row>
    <row r="22" spans="1:4" ht="18" customHeight="1" x14ac:dyDescent="0.3">
      <c r="A22" s="6" t="s">
        <v>12</v>
      </c>
      <c r="B22" s="7">
        <v>35</v>
      </c>
      <c r="C22" s="7">
        <v>37</v>
      </c>
      <c r="D22" s="7">
        <v>39</v>
      </c>
    </row>
    <row r="23" spans="1:4" ht="18" customHeight="1" x14ac:dyDescent="0.3">
      <c r="A23" s="11" t="s">
        <v>16</v>
      </c>
      <c r="B23" s="12">
        <v>25</v>
      </c>
      <c r="C23" s="12">
        <v>26</v>
      </c>
      <c r="D23" s="12">
        <v>27</v>
      </c>
    </row>
    <row r="24" spans="1:4" ht="18" customHeight="1" x14ac:dyDescent="0.3">
      <c r="A24" s="6" t="s">
        <v>20</v>
      </c>
      <c r="B24" s="7">
        <v>20</v>
      </c>
      <c r="C24" s="7">
        <v>21</v>
      </c>
      <c r="D24" s="7">
        <v>22</v>
      </c>
    </row>
    <row r="25" spans="1:4" ht="18" customHeight="1" x14ac:dyDescent="0.3">
      <c r="A25" s="11" t="s">
        <v>21</v>
      </c>
      <c r="B25" s="12">
        <v>18</v>
      </c>
      <c r="C25" s="12">
        <v>19</v>
      </c>
      <c r="D25" s="12">
        <v>20</v>
      </c>
    </row>
    <row r="26" spans="1:4" ht="18" customHeight="1" x14ac:dyDescent="0.3">
      <c r="A26" s="6" t="s">
        <v>22</v>
      </c>
      <c r="B26" s="7">
        <v>15</v>
      </c>
      <c r="C26" s="7">
        <v>16</v>
      </c>
      <c r="D26" s="7">
        <v>17</v>
      </c>
    </row>
    <row r="27" spans="1:4" ht="18" customHeight="1" x14ac:dyDescent="0.3">
      <c r="A27" s="11" t="s">
        <v>23</v>
      </c>
      <c r="B27" s="12">
        <v>15</v>
      </c>
      <c r="C27" s="12">
        <v>16</v>
      </c>
      <c r="D27" s="12">
        <v>17</v>
      </c>
    </row>
    <row r="28" spans="1:4" ht="18" customHeight="1" x14ac:dyDescent="0.3">
      <c r="A28" s="6" t="s">
        <v>24</v>
      </c>
      <c r="B28" s="7">
        <v>20</v>
      </c>
      <c r="C28" s="7">
        <v>21</v>
      </c>
      <c r="D28" s="7">
        <v>22</v>
      </c>
    </row>
    <row r="29" spans="1:4" ht="18" customHeight="1" x14ac:dyDescent="0.3">
      <c r="A29" s="11" t="s">
        <v>25</v>
      </c>
      <c r="B29" s="12">
        <v>45</v>
      </c>
      <c r="C29" s="12">
        <v>47</v>
      </c>
      <c r="D29" s="12">
        <v>50</v>
      </c>
    </row>
    <row r="30" spans="1:4" ht="18" customHeight="1" x14ac:dyDescent="0.3">
      <c r="A30" s="6" t="s">
        <v>26</v>
      </c>
      <c r="B30" s="7">
        <v>110</v>
      </c>
      <c r="C30" s="7">
        <v>116</v>
      </c>
      <c r="D30" s="7">
        <v>122</v>
      </c>
    </row>
    <row r="31" spans="1:4" ht="18" customHeight="1" x14ac:dyDescent="0.3">
      <c r="A31" s="11" t="s">
        <v>27</v>
      </c>
      <c r="B31" s="12">
        <v>220</v>
      </c>
      <c r="C31" s="12">
        <v>231</v>
      </c>
      <c r="D31" s="12">
        <v>243</v>
      </c>
    </row>
    <row r="32" spans="1:4" ht="18" customHeight="1" x14ac:dyDescent="0.3">
      <c r="A32" s="6" t="s">
        <v>28</v>
      </c>
      <c r="B32" s="7">
        <v>280</v>
      </c>
      <c r="C32" s="7">
        <v>294</v>
      </c>
      <c r="D32" s="7">
        <v>309</v>
      </c>
    </row>
    <row r="33" spans="1:4" ht="19.5" customHeight="1" x14ac:dyDescent="0.3">
      <c r="A33" s="8" t="s">
        <v>29</v>
      </c>
      <c r="B33" s="9">
        <f>SUM(B21:B32)</f>
        <v>858</v>
      </c>
      <c r="C33" s="9">
        <f>SUM(C21:C32)</f>
        <v>902</v>
      </c>
      <c r="D33" s="9">
        <f>SUM(D21:D32)</f>
        <v>949</v>
      </c>
    </row>
    <row r="34" spans="1:4" ht="4.5" customHeight="1" x14ac:dyDescent="0.3"/>
    <row r="35" spans="1:4" ht="34.5" customHeight="1" x14ac:dyDescent="0.3">
      <c r="A35" s="375"/>
      <c r="B35" s="376"/>
      <c r="C35" s="376"/>
      <c r="D35" s="376"/>
    </row>
  </sheetData>
  <mergeCells count="4">
    <mergeCell ref="A1:I1"/>
    <mergeCell ref="A35:D35"/>
    <mergeCell ref="A3:D3"/>
    <mergeCell ref="A19:D19"/>
  </mergeCells>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7"/>
  <sheetViews>
    <sheetView workbookViewId="0"/>
  </sheetViews>
  <sheetFormatPr defaultRowHeight="14.4" x14ac:dyDescent="0.3"/>
  <cols>
    <col min="1" max="1" width="10.5546875" customWidth="1"/>
    <col min="2" max="2" width="9" customWidth="1"/>
    <col min="3" max="3" width="10.109375" customWidth="1"/>
    <col min="4" max="4" width="24.44140625" customWidth="1"/>
    <col min="5" max="5" width="24.5546875" customWidth="1"/>
  </cols>
  <sheetData>
    <row r="1" spans="1:9" ht="40.049999999999997" customHeight="1" x14ac:dyDescent="0.3">
      <c r="A1" s="380" t="s">
        <v>31</v>
      </c>
      <c r="B1" s="373"/>
      <c r="C1" s="373"/>
      <c r="D1" s="373"/>
      <c r="E1" s="373"/>
      <c r="F1" s="373"/>
      <c r="G1" s="373"/>
      <c r="H1" s="373"/>
      <c r="I1" s="374"/>
    </row>
    <row r="3" spans="1:9" x14ac:dyDescent="0.3">
      <c r="A3" t="s">
        <v>32</v>
      </c>
      <c r="B3" s="13" t="s">
        <v>33</v>
      </c>
      <c r="C3" s="13" t="s">
        <v>34</v>
      </c>
      <c r="D3" s="13" t="s">
        <v>35</v>
      </c>
      <c r="E3" s="13" t="s">
        <v>36</v>
      </c>
    </row>
    <row r="4" spans="1:9" x14ac:dyDescent="0.3">
      <c r="A4" s="14">
        <v>44953</v>
      </c>
      <c r="B4" s="15">
        <v>81</v>
      </c>
    </row>
    <row r="5" spans="1:9" x14ac:dyDescent="0.3">
      <c r="A5" s="14">
        <v>44983</v>
      </c>
      <c r="B5" s="15">
        <v>83</v>
      </c>
      <c r="G5" t="s">
        <v>37</v>
      </c>
    </row>
    <row r="6" spans="1:9" x14ac:dyDescent="0.3">
      <c r="A6" s="14">
        <v>45013</v>
      </c>
      <c r="B6" s="15">
        <v>86</v>
      </c>
    </row>
    <row r="7" spans="1:9" x14ac:dyDescent="0.3">
      <c r="A7" s="14">
        <v>45043</v>
      </c>
      <c r="B7" s="15">
        <v>84</v>
      </c>
    </row>
    <row r="8" spans="1:9" x14ac:dyDescent="0.3">
      <c r="A8" s="14">
        <v>45073</v>
      </c>
      <c r="B8" s="15">
        <v>82</v>
      </c>
    </row>
    <row r="9" spans="1:9" x14ac:dyDescent="0.3">
      <c r="A9" s="14">
        <v>45103</v>
      </c>
      <c r="B9" s="15">
        <v>79</v>
      </c>
    </row>
    <row r="10" spans="1:9" x14ac:dyDescent="0.3">
      <c r="A10" s="14">
        <v>45133</v>
      </c>
      <c r="B10" s="15">
        <v>80</v>
      </c>
    </row>
    <row r="11" spans="1:9" x14ac:dyDescent="0.3">
      <c r="A11" s="14">
        <v>45163</v>
      </c>
      <c r="B11" s="15">
        <v>87</v>
      </c>
    </row>
    <row r="12" spans="1:9" x14ac:dyDescent="0.3">
      <c r="A12" s="14">
        <v>45193</v>
      </c>
      <c r="B12" s="15">
        <v>95</v>
      </c>
    </row>
    <row r="13" spans="1:9" x14ac:dyDescent="0.3">
      <c r="A13" s="14">
        <v>45223</v>
      </c>
      <c r="B13" s="15">
        <v>120</v>
      </c>
    </row>
    <row r="14" spans="1:9" x14ac:dyDescent="0.3">
      <c r="A14" s="14">
        <v>45253</v>
      </c>
      <c r="B14" s="15">
        <v>100</v>
      </c>
    </row>
    <row r="15" spans="1:9" x14ac:dyDescent="0.3">
      <c r="A15" s="14">
        <v>45283</v>
      </c>
      <c r="B15" s="15">
        <v>90</v>
      </c>
    </row>
    <row r="16" spans="1:9" x14ac:dyDescent="0.3">
      <c r="A16" s="14">
        <v>45313</v>
      </c>
      <c r="B16" s="15">
        <v>83</v>
      </c>
    </row>
    <row r="17" spans="1:5" x14ac:dyDescent="0.3">
      <c r="A17" s="14">
        <v>45343</v>
      </c>
      <c r="B17" s="15">
        <v>85</v>
      </c>
    </row>
    <row r="18" spans="1:5" x14ac:dyDescent="0.3">
      <c r="A18" s="14">
        <v>45373</v>
      </c>
      <c r="B18" s="15">
        <v>88</v>
      </c>
    </row>
    <row r="19" spans="1:5" x14ac:dyDescent="0.3">
      <c r="A19" s="14">
        <v>45403</v>
      </c>
      <c r="B19" s="15">
        <v>86</v>
      </c>
    </row>
    <row r="20" spans="1:5" x14ac:dyDescent="0.3">
      <c r="A20" s="14">
        <v>45433</v>
      </c>
      <c r="B20" s="15">
        <v>84</v>
      </c>
    </row>
    <row r="21" spans="1:5" x14ac:dyDescent="0.3">
      <c r="A21" s="14">
        <v>45463</v>
      </c>
      <c r="B21" s="15">
        <v>81</v>
      </c>
    </row>
    <row r="22" spans="1:5" x14ac:dyDescent="0.3">
      <c r="A22" s="14">
        <v>45493</v>
      </c>
      <c r="B22" s="15">
        <v>82</v>
      </c>
    </row>
    <row r="23" spans="1:5" x14ac:dyDescent="0.3">
      <c r="A23" s="14">
        <v>45523</v>
      </c>
      <c r="B23" s="15">
        <v>89</v>
      </c>
    </row>
    <row r="24" spans="1:5" x14ac:dyDescent="0.3">
      <c r="A24" s="14">
        <v>45553</v>
      </c>
      <c r="B24" s="15">
        <v>97</v>
      </c>
    </row>
    <row r="25" spans="1:5" x14ac:dyDescent="0.3">
      <c r="A25" s="14">
        <v>45583</v>
      </c>
      <c r="B25" s="15">
        <v>123</v>
      </c>
    </row>
    <row r="26" spans="1:5" x14ac:dyDescent="0.3">
      <c r="A26" s="14">
        <v>45613</v>
      </c>
      <c r="B26" s="15">
        <v>102</v>
      </c>
    </row>
    <row r="27" spans="1:5" x14ac:dyDescent="0.3">
      <c r="A27" s="14">
        <v>45643</v>
      </c>
      <c r="B27" s="15">
        <v>92</v>
      </c>
    </row>
    <row r="28" spans="1:5" x14ac:dyDescent="0.3">
      <c r="A28" s="14">
        <v>45673</v>
      </c>
      <c r="B28" s="15">
        <v>85</v>
      </c>
      <c r="C28" s="15"/>
      <c r="D28" s="15"/>
      <c r="E28" s="15"/>
    </row>
    <row r="29" spans="1:5" x14ac:dyDescent="0.3">
      <c r="A29" s="14">
        <v>45703</v>
      </c>
      <c r="B29" s="15">
        <v>87</v>
      </c>
      <c r="C29" s="15"/>
      <c r="D29" s="15"/>
      <c r="E29" s="15"/>
    </row>
    <row r="30" spans="1:5" x14ac:dyDescent="0.3">
      <c r="A30" s="14">
        <v>45733</v>
      </c>
      <c r="B30" s="15">
        <v>90</v>
      </c>
      <c r="C30" s="15"/>
      <c r="D30" s="15"/>
      <c r="E30" s="15"/>
    </row>
    <row r="31" spans="1:5" x14ac:dyDescent="0.3">
      <c r="A31" s="14">
        <v>45763</v>
      </c>
      <c r="B31" s="15">
        <v>88</v>
      </c>
      <c r="C31" s="15"/>
      <c r="D31" s="15"/>
      <c r="E31" s="15"/>
    </row>
    <row r="32" spans="1:5" x14ac:dyDescent="0.3">
      <c r="A32" s="14">
        <v>45793</v>
      </c>
      <c r="B32" s="15">
        <v>86</v>
      </c>
      <c r="C32" s="15"/>
      <c r="D32" s="15"/>
      <c r="E32" s="15"/>
    </row>
    <row r="33" spans="1:5" x14ac:dyDescent="0.3">
      <c r="A33" s="14">
        <v>45823</v>
      </c>
      <c r="B33" s="15">
        <v>83</v>
      </c>
      <c r="C33" s="15"/>
      <c r="D33" s="15"/>
      <c r="E33" s="15"/>
    </row>
    <row r="34" spans="1:5" x14ac:dyDescent="0.3">
      <c r="A34" s="14">
        <v>45853</v>
      </c>
      <c r="B34" s="15">
        <v>84</v>
      </c>
      <c r="C34" s="15"/>
      <c r="D34" s="15"/>
      <c r="E34" s="15"/>
    </row>
    <row r="35" spans="1:5" x14ac:dyDescent="0.3">
      <c r="A35" s="14">
        <v>45883</v>
      </c>
      <c r="B35" s="15">
        <v>91</v>
      </c>
      <c r="C35" s="15"/>
      <c r="D35" s="15"/>
      <c r="E35" s="15"/>
    </row>
    <row r="36" spans="1:5" x14ac:dyDescent="0.3">
      <c r="A36" s="14">
        <v>45913</v>
      </c>
      <c r="B36" s="15">
        <v>99</v>
      </c>
      <c r="C36" s="15"/>
      <c r="D36" s="15"/>
      <c r="E36" s="15"/>
    </row>
    <row r="37" spans="1:5" x14ac:dyDescent="0.3">
      <c r="A37" s="14">
        <v>45943</v>
      </c>
      <c r="B37" s="15">
        <v>126</v>
      </c>
      <c r="C37" s="15"/>
      <c r="D37" s="15"/>
      <c r="E37" s="15"/>
    </row>
    <row r="38" spans="1:5" x14ac:dyDescent="0.3">
      <c r="A38" s="14">
        <v>45973</v>
      </c>
      <c r="B38" s="15">
        <v>104</v>
      </c>
      <c r="C38" s="15"/>
      <c r="D38" s="15"/>
      <c r="E38" s="15"/>
    </row>
    <row r="39" spans="1:5" x14ac:dyDescent="0.3">
      <c r="A39" s="14">
        <v>46003</v>
      </c>
      <c r="B39" s="15">
        <v>94</v>
      </c>
      <c r="C39" s="15"/>
      <c r="D39" s="15"/>
      <c r="E39" s="15"/>
    </row>
    <row r="40" spans="1:5" x14ac:dyDescent="0.3">
      <c r="A40" s="14">
        <v>46033</v>
      </c>
      <c r="B40" s="15">
        <v>104</v>
      </c>
    </row>
    <row r="41" spans="1:5" x14ac:dyDescent="0.3">
      <c r="A41" s="14">
        <v>46063</v>
      </c>
      <c r="B41" s="15">
        <v>94</v>
      </c>
      <c r="C41" s="15">
        <v>94</v>
      </c>
      <c r="D41" s="15">
        <v>94</v>
      </c>
      <c r="E41" s="15">
        <v>94</v>
      </c>
    </row>
    <row r="42" spans="1:5" x14ac:dyDescent="0.3">
      <c r="A42" s="14">
        <v>46372</v>
      </c>
      <c r="C42" s="15">
        <v>98.156028499563789</v>
      </c>
      <c r="D42" s="15">
        <v>92.518372668689409</v>
      </c>
      <c r="E42" s="15">
        <v>103.7936843304382</v>
      </c>
    </row>
    <row r="43" spans="1:5" x14ac:dyDescent="0.3">
      <c r="A43" s="14">
        <v>46402</v>
      </c>
      <c r="C43" s="15">
        <v>93.950982808944701</v>
      </c>
      <c r="D43" s="15">
        <v>88.26836378557779</v>
      </c>
      <c r="E43" s="15">
        <v>99.633601832311612</v>
      </c>
    </row>
    <row r="44" spans="1:5" x14ac:dyDescent="0.3">
      <c r="A44" s="14">
        <v>46432</v>
      </c>
      <c r="C44" s="15">
        <v>96.327724965067475</v>
      </c>
      <c r="D44" s="15">
        <v>90.599642607260549</v>
      </c>
      <c r="E44" s="15">
        <v>102.0558073228744</v>
      </c>
    </row>
    <row r="45" spans="1:5" x14ac:dyDescent="0.3">
      <c r="A45" s="14">
        <v>46462</v>
      </c>
      <c r="C45" s="15">
        <v>97.888663436928383</v>
      </c>
      <c r="D45" s="15">
        <v>92.114558953574658</v>
      </c>
      <c r="E45" s="15">
        <v>103.66276792028211</v>
      </c>
    </row>
    <row r="46" spans="1:5" x14ac:dyDescent="0.3">
      <c r="A46" s="14">
        <v>46492</v>
      </c>
      <c r="C46" s="15">
        <v>95.917682237713777</v>
      </c>
      <c r="D46" s="15">
        <v>90.097722540524046</v>
      </c>
      <c r="E46" s="15">
        <v>101.73764193490349</v>
      </c>
    </row>
    <row r="47" spans="1:5" x14ac:dyDescent="0.3">
      <c r="A47" s="14">
        <v>46522</v>
      </c>
      <c r="C47" s="15">
        <v>93.717305234264046</v>
      </c>
      <c r="D47" s="15">
        <v>87.851195822928759</v>
      </c>
      <c r="E47" s="15">
        <v>99.583414645599333</v>
      </c>
    </row>
    <row r="48" spans="1:5" x14ac:dyDescent="0.3">
      <c r="A48" s="14">
        <v>46552</v>
      </c>
      <c r="C48" s="15">
        <v>91.927625456131224</v>
      </c>
      <c r="D48" s="15">
        <v>86.015074092545149</v>
      </c>
      <c r="E48" s="15">
        <v>97.8401768197173</v>
      </c>
    </row>
    <row r="49" spans="1:5" x14ac:dyDescent="0.3">
      <c r="A49" s="14">
        <v>46582</v>
      </c>
      <c r="C49" s="15">
        <v>94.536444555322788</v>
      </c>
      <c r="D49" s="15">
        <v>88.577161236281697</v>
      </c>
      <c r="E49" s="15">
        <v>100.49572787436389</v>
      </c>
    </row>
    <row r="50" spans="1:5" x14ac:dyDescent="0.3">
      <c r="A50" s="14">
        <v>46612</v>
      </c>
      <c r="C50" s="15">
        <v>101.8389586166432</v>
      </c>
      <c r="D50" s="15">
        <v>95.832655546512896</v>
      </c>
      <c r="E50" s="15">
        <v>107.8452616867735</v>
      </c>
    </row>
    <row r="51" spans="1:5" x14ac:dyDescent="0.3">
      <c r="A51" s="14">
        <v>46642</v>
      </c>
      <c r="C51" s="15">
        <v>115.1369836768651</v>
      </c>
      <c r="D51" s="15">
        <v>109.0833752402517</v>
      </c>
      <c r="E51" s="15">
        <v>121.1905921134785</v>
      </c>
    </row>
    <row r="52" spans="1:5" x14ac:dyDescent="0.3">
      <c r="A52" s="14">
        <v>46672</v>
      </c>
      <c r="C52" s="15">
        <v>126.88510821768151</v>
      </c>
      <c r="D52" s="15">
        <v>120.7839109521304</v>
      </c>
      <c r="E52" s="15">
        <v>132.9863054832326</v>
      </c>
    </row>
    <row r="53" spans="1:5" x14ac:dyDescent="0.3">
      <c r="A53" s="14">
        <v>46702</v>
      </c>
      <c r="C53" s="15">
        <v>109.77842669360091</v>
      </c>
      <c r="D53" s="15">
        <v>103.6293592623494</v>
      </c>
      <c r="E53" s="15">
        <v>115.9274941248525</v>
      </c>
    </row>
    <row r="54" spans="1:5" x14ac:dyDescent="0.3">
      <c r="A54" s="14">
        <v>46732</v>
      </c>
      <c r="C54" s="15">
        <v>101.2025078126651</v>
      </c>
      <c r="D54" s="15">
        <v>95.005290977472583</v>
      </c>
      <c r="E54" s="15">
        <v>107.3997246478577</v>
      </c>
    </row>
    <row r="55" spans="1:5" x14ac:dyDescent="0.3">
      <c r="A55" s="14">
        <v>46762</v>
      </c>
      <c r="C55" s="15">
        <v>96.997462122046045</v>
      </c>
      <c r="D55" s="15">
        <v>90.751818716123623</v>
      </c>
      <c r="E55" s="15">
        <v>103.2431055279685</v>
      </c>
    </row>
    <row r="56" spans="1:5" x14ac:dyDescent="0.3">
      <c r="A56" s="14">
        <v>46792</v>
      </c>
      <c r="C56" s="15">
        <v>99.374204278168818</v>
      </c>
      <c r="D56" s="15">
        <v>93.079662654179032</v>
      </c>
      <c r="E56" s="15">
        <v>105.66874590215861</v>
      </c>
    </row>
    <row r="57" spans="1:5" x14ac:dyDescent="0.3">
      <c r="A57" s="14">
        <v>46822</v>
      </c>
      <c r="C57" s="15">
        <v>100.9351427500297</v>
      </c>
      <c r="D57" s="15">
        <v>94.591172850825401</v>
      </c>
      <c r="E57" s="15">
        <v>107.27911264923409</v>
      </c>
    </row>
    <row r="58" spans="1:5" x14ac:dyDescent="0.3">
      <c r="A58" s="14">
        <v>46852</v>
      </c>
      <c r="C58" s="15">
        <v>98.96416155081512</v>
      </c>
      <c r="D58" s="15">
        <v>92.570950747297161</v>
      </c>
      <c r="E58" s="15">
        <v>105.35737235433309</v>
      </c>
    </row>
    <row r="59" spans="1:5" x14ac:dyDescent="0.3">
      <c r="A59" s="14">
        <v>46882</v>
      </c>
      <c r="C59" s="15">
        <v>96.76378454736539</v>
      </c>
      <c r="D59" s="15">
        <v>90.321063640716716</v>
      </c>
      <c r="E59" s="15">
        <v>103.20650545401411</v>
      </c>
    </row>
    <row r="60" spans="1:5" x14ac:dyDescent="0.3">
      <c r="A60" s="14">
        <v>46912</v>
      </c>
      <c r="C60" s="15">
        <v>94.974104769232568</v>
      </c>
      <c r="D60" s="15">
        <v>88.481606499222437</v>
      </c>
      <c r="E60" s="15">
        <v>101.4666030392427</v>
      </c>
    </row>
    <row r="61" spans="1:5" x14ac:dyDescent="0.3">
      <c r="A61" s="14">
        <v>46942</v>
      </c>
      <c r="C61" s="15">
        <v>97.582923868424132</v>
      </c>
      <c r="D61" s="15">
        <v>91.040382887322366</v>
      </c>
      <c r="E61" s="15">
        <v>104.1254648495259</v>
      </c>
    </row>
    <row r="62" spans="1:5" x14ac:dyDescent="0.3">
      <c r="A62" s="14">
        <v>46972</v>
      </c>
      <c r="C62" s="15">
        <v>104.8854379297445</v>
      </c>
      <c r="D62" s="15">
        <v>98.29259077644808</v>
      </c>
      <c r="E62" s="15">
        <v>111.478285083041</v>
      </c>
    </row>
    <row r="63" spans="1:5" x14ac:dyDescent="0.3">
      <c r="A63" s="14">
        <v>47002</v>
      </c>
      <c r="C63" s="15">
        <v>118.1834629899664</v>
      </c>
      <c r="D63" s="15">
        <v>111.54004806434941</v>
      </c>
      <c r="E63" s="15">
        <v>124.82687791558349</v>
      </c>
    </row>
    <row r="64" spans="1:5" x14ac:dyDescent="0.3">
      <c r="A64" s="14">
        <v>47032</v>
      </c>
      <c r="C64" s="15">
        <v>129.93158753078291</v>
      </c>
      <c r="D64" s="15">
        <v>123.2373450682806</v>
      </c>
      <c r="E64" s="15">
        <v>136.62582999328521</v>
      </c>
    </row>
    <row r="65" spans="1:5" x14ac:dyDescent="0.3">
      <c r="A65" s="14">
        <v>47062</v>
      </c>
      <c r="C65" s="15">
        <v>112.82490600670231</v>
      </c>
      <c r="D65" s="15">
        <v>106.0795780531385</v>
      </c>
      <c r="E65" s="15">
        <v>119.57023396026609</v>
      </c>
    </row>
    <row r="66" spans="1:5" x14ac:dyDescent="0.3">
      <c r="A66" s="14">
        <v>47092</v>
      </c>
      <c r="C66" s="15">
        <v>104.2489871257665</v>
      </c>
      <c r="D66" s="15">
        <v>97.452317512432359</v>
      </c>
      <c r="E66" s="15">
        <v>111.04565673910071</v>
      </c>
    </row>
    <row r="67" spans="1:5" x14ac:dyDescent="0.3">
      <c r="A67" s="14">
        <v>47117</v>
      </c>
      <c r="C67" s="15">
        <v>99.698428802185958</v>
      </c>
      <c r="D67" s="15">
        <v>92.858810444046512</v>
      </c>
      <c r="E67" s="15">
        <v>106.53804716032541</v>
      </c>
    </row>
  </sheetData>
  <mergeCells count="1">
    <mergeCell ref="A1:I1"/>
  </mergeCells>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8"/>
  <sheetViews>
    <sheetView workbookViewId="0"/>
  </sheetViews>
  <sheetFormatPr defaultRowHeight="14.4" x14ac:dyDescent="0.3"/>
  <cols>
    <col min="1" max="1" width="22.44140625" customWidth="1"/>
    <col min="2" max="2" width="9" customWidth="1"/>
    <col min="3" max="3" width="7" customWidth="1"/>
    <col min="4" max="4" width="13.21875" customWidth="1"/>
    <col min="5" max="5" width="12" customWidth="1"/>
    <col min="8" max="8" width="16" customWidth="1"/>
    <col min="9" max="9" width="18" customWidth="1"/>
    <col min="10" max="10" width="94.5546875" customWidth="1"/>
  </cols>
  <sheetData>
    <row r="1" spans="1:10" ht="46.05" customHeight="1" x14ac:dyDescent="0.3">
      <c r="A1" s="372" t="s">
        <v>38</v>
      </c>
      <c r="B1" s="373"/>
      <c r="C1" s="373"/>
      <c r="D1" s="373"/>
      <c r="E1" s="373"/>
      <c r="F1" s="373"/>
      <c r="G1" s="373"/>
      <c r="H1" s="373"/>
      <c r="I1" s="373"/>
      <c r="J1" s="374"/>
    </row>
    <row r="3" spans="1:10" ht="25.5" customHeight="1" x14ac:dyDescent="0.3">
      <c r="A3" s="390" t="s">
        <v>39</v>
      </c>
      <c r="B3" s="378"/>
      <c r="C3" s="378"/>
      <c r="D3" s="378"/>
      <c r="E3" s="378"/>
      <c r="F3" s="378"/>
      <c r="G3" s="378"/>
      <c r="H3" s="378"/>
      <c r="I3" s="378"/>
      <c r="J3" s="378"/>
    </row>
    <row r="4" spans="1:10" ht="21.75" customHeight="1" x14ac:dyDescent="0.3">
      <c r="A4" s="16" t="s">
        <v>40</v>
      </c>
      <c r="B4" s="16" t="s">
        <v>41</v>
      </c>
      <c r="C4" s="16" t="s">
        <v>42</v>
      </c>
      <c r="D4" s="16" t="s">
        <v>43</v>
      </c>
      <c r="E4" s="16" t="s">
        <v>44</v>
      </c>
      <c r="F4" s="16" t="s">
        <v>45</v>
      </c>
      <c r="G4" s="16" t="s">
        <v>46</v>
      </c>
      <c r="H4" s="16" t="s">
        <v>47</v>
      </c>
      <c r="I4" s="16" t="s">
        <v>48</v>
      </c>
      <c r="J4" s="16" t="s">
        <v>49</v>
      </c>
    </row>
    <row r="5" spans="1:10" ht="18" customHeight="1" x14ac:dyDescent="0.3">
      <c r="A5" s="17" t="s">
        <v>8</v>
      </c>
      <c r="B5" s="18" t="s">
        <v>50</v>
      </c>
      <c r="C5" s="19">
        <v>0</v>
      </c>
      <c r="D5" s="20">
        <v>0</v>
      </c>
      <c r="E5" s="21">
        <v>81</v>
      </c>
      <c r="F5" s="21">
        <v>83</v>
      </c>
      <c r="G5" s="21">
        <v>85</v>
      </c>
      <c r="H5" s="22">
        <f>ROUND((0.5*TREND(E5:G5,{1,2,3},4)+0.5*G5*$I$17)*(1+C5*D5),1)</f>
        <v>87.4</v>
      </c>
      <c r="I5" s="17"/>
      <c r="J5" s="23" t="s">
        <v>51</v>
      </c>
    </row>
    <row r="6" spans="1:10" ht="18" customHeight="1" x14ac:dyDescent="0.3">
      <c r="A6" s="24" t="s">
        <v>12</v>
      </c>
      <c r="B6" s="25" t="s">
        <v>50</v>
      </c>
      <c r="C6" s="26">
        <v>1</v>
      </c>
      <c r="D6" s="27">
        <v>0.1</v>
      </c>
      <c r="E6" s="28">
        <v>83</v>
      </c>
      <c r="F6" s="28">
        <v>85</v>
      </c>
      <c r="G6" s="28">
        <v>87</v>
      </c>
      <c r="H6" s="29">
        <f>ROUND((0.5*TREND(E6:G6,{1,2,3},4)+0.5*G6*$I$17)*(1+C6*D6),1)</f>
        <v>98.3</v>
      </c>
      <c r="I6" s="24"/>
      <c r="J6" s="30" t="s">
        <v>52</v>
      </c>
    </row>
    <row r="7" spans="1:10" ht="18" customHeight="1" x14ac:dyDescent="0.3">
      <c r="A7" s="17" t="s">
        <v>16</v>
      </c>
      <c r="B7" s="18" t="s">
        <v>50</v>
      </c>
      <c r="C7" s="19">
        <v>1</v>
      </c>
      <c r="D7" s="20">
        <v>0.1</v>
      </c>
      <c r="E7" s="21">
        <v>86</v>
      </c>
      <c r="F7" s="21">
        <v>88</v>
      </c>
      <c r="G7" s="21">
        <v>90</v>
      </c>
      <c r="H7" s="22">
        <f>ROUND((0.5*TREND(E7:G7,{1,2,3},4)+0.5*G7*$I$17)*(1+C7*D7),1)</f>
        <v>101.7</v>
      </c>
      <c r="I7" s="17"/>
      <c r="J7" s="23" t="s">
        <v>53</v>
      </c>
    </row>
    <row r="8" spans="1:10" ht="18" customHeight="1" x14ac:dyDescent="0.3">
      <c r="A8" s="24" t="s">
        <v>20</v>
      </c>
      <c r="B8" s="25" t="s">
        <v>50</v>
      </c>
      <c r="C8" s="26">
        <v>0</v>
      </c>
      <c r="D8" s="27">
        <v>0</v>
      </c>
      <c r="E8" s="28">
        <v>84</v>
      </c>
      <c r="F8" s="28">
        <v>86</v>
      </c>
      <c r="G8" s="28">
        <v>88</v>
      </c>
      <c r="H8" s="29">
        <f>ROUND((0.5*TREND(E8:G8,{1,2,3},4)+0.5*G8*$I$17)*(1+C8*D8),1)</f>
        <v>90.4</v>
      </c>
      <c r="I8" s="24"/>
      <c r="J8" s="30" t="s">
        <v>54</v>
      </c>
    </row>
    <row r="9" spans="1:10" ht="18" customHeight="1" x14ac:dyDescent="0.3">
      <c r="A9" s="17" t="s">
        <v>21</v>
      </c>
      <c r="B9" s="18" t="s">
        <v>50</v>
      </c>
      <c r="C9" s="19">
        <v>0</v>
      </c>
      <c r="D9" s="20">
        <v>0</v>
      </c>
      <c r="E9" s="21">
        <v>82</v>
      </c>
      <c r="F9" s="21">
        <v>84</v>
      </c>
      <c r="G9" s="21">
        <v>86</v>
      </c>
      <c r="H9" s="22">
        <f>ROUND((0.5*TREND(E9:G9,{1,2,3},4)+0.5*G9*$I$17)*(1+C9*D9),1)</f>
        <v>88.4</v>
      </c>
      <c r="I9" s="17"/>
      <c r="J9" s="23"/>
    </row>
    <row r="10" spans="1:10" ht="18" customHeight="1" x14ac:dyDescent="0.3">
      <c r="A10" s="24" t="s">
        <v>22</v>
      </c>
      <c r="B10" s="25" t="s">
        <v>50</v>
      </c>
      <c r="C10" s="26">
        <v>0</v>
      </c>
      <c r="D10" s="27">
        <v>0</v>
      </c>
      <c r="E10" s="28">
        <v>79</v>
      </c>
      <c r="F10" s="28">
        <v>81</v>
      </c>
      <c r="G10" s="28">
        <v>83</v>
      </c>
      <c r="H10" s="29">
        <f>ROUND((0.5*TREND(E10:G10,{1,2,3},4)+0.5*G10*$I$17)*(1+C10*D10),1)</f>
        <v>85.3</v>
      </c>
      <c r="I10" s="24"/>
      <c r="J10" s="30"/>
    </row>
    <row r="11" spans="1:10" ht="18" customHeight="1" x14ac:dyDescent="0.3">
      <c r="A11" s="17" t="s">
        <v>23</v>
      </c>
      <c r="B11" s="18" t="s">
        <v>50</v>
      </c>
      <c r="C11" s="19">
        <v>0</v>
      </c>
      <c r="D11" s="20">
        <v>0</v>
      </c>
      <c r="E11" s="21">
        <v>80</v>
      </c>
      <c r="F11" s="21">
        <v>82</v>
      </c>
      <c r="G11" s="21">
        <v>84</v>
      </c>
      <c r="H11" s="22">
        <f>ROUND((0.5*TREND(E11:G11,{1,2,3},4)+0.5*G11*$I$17)*(1+C11*D11),1)</f>
        <v>86.3</v>
      </c>
      <c r="I11" s="17"/>
      <c r="J11" s="23"/>
    </row>
    <row r="12" spans="1:10" ht="18" customHeight="1" x14ac:dyDescent="0.3">
      <c r="A12" s="24" t="s">
        <v>24</v>
      </c>
      <c r="B12" s="25" t="s">
        <v>50</v>
      </c>
      <c r="C12" s="26">
        <v>0</v>
      </c>
      <c r="D12" s="27">
        <v>0</v>
      </c>
      <c r="E12" s="28">
        <v>87</v>
      </c>
      <c r="F12" s="28">
        <v>89</v>
      </c>
      <c r="G12" s="28">
        <v>91</v>
      </c>
      <c r="H12" s="29">
        <f>ROUND((0.5*TREND(E12:G12,{1,2,3},4)+0.5*G12*$I$17)*(1+C12*D12),1)</f>
        <v>93.5</v>
      </c>
      <c r="I12" s="24"/>
      <c r="J12" s="30"/>
    </row>
    <row r="13" spans="1:10" ht="18" customHeight="1" x14ac:dyDescent="0.3">
      <c r="A13" s="17" t="s">
        <v>25</v>
      </c>
      <c r="B13" s="18" t="s">
        <v>50</v>
      </c>
      <c r="C13" s="19">
        <v>0</v>
      </c>
      <c r="D13" s="20">
        <v>0</v>
      </c>
      <c r="E13" s="21">
        <v>95</v>
      </c>
      <c r="F13" s="21">
        <v>97</v>
      </c>
      <c r="G13" s="21">
        <v>99</v>
      </c>
      <c r="H13" s="22">
        <f>ROUND((0.5*TREND(E13:G13,{1,2,3},4)+0.5*G13*$I$17)*(1+C13*D13),1)</f>
        <v>101.6</v>
      </c>
      <c r="I13" s="17"/>
      <c r="J13" s="23"/>
    </row>
    <row r="14" spans="1:10" ht="18" customHeight="1" x14ac:dyDescent="0.3">
      <c r="A14" s="24" t="s">
        <v>26</v>
      </c>
      <c r="B14" s="25" t="s">
        <v>50</v>
      </c>
      <c r="C14" s="26">
        <v>0</v>
      </c>
      <c r="D14" s="27">
        <v>0</v>
      </c>
      <c r="E14" s="28">
        <v>120</v>
      </c>
      <c r="F14" s="28">
        <v>155</v>
      </c>
      <c r="G14" s="28">
        <v>126</v>
      </c>
      <c r="H14" s="29">
        <f>ROUND((0.5*TREND(E14:G14,{1,2,3},4)+0.5*G14*$I$17)*(1+C14*D14),1)</f>
        <v>134.80000000000001</v>
      </c>
      <c r="I14" s="24"/>
      <c r="J14" s="30"/>
    </row>
    <row r="15" spans="1:10" ht="18" customHeight="1" x14ac:dyDescent="0.3">
      <c r="A15" s="17" t="s">
        <v>27</v>
      </c>
      <c r="B15" s="18" t="s">
        <v>50</v>
      </c>
      <c r="C15" s="19">
        <v>0</v>
      </c>
      <c r="D15" s="20">
        <v>0</v>
      </c>
      <c r="E15" s="21">
        <v>100</v>
      </c>
      <c r="F15" s="21">
        <v>102</v>
      </c>
      <c r="G15" s="21">
        <v>104</v>
      </c>
      <c r="H15" s="22">
        <f>ROUND((0.5*TREND(E15:G15,{1,2,3},4)+0.5*G15*$I$17)*(1+C15*D15),1)</f>
        <v>106.7</v>
      </c>
      <c r="I15" s="17"/>
      <c r="J15" s="23"/>
    </row>
    <row r="16" spans="1:10" ht="18" customHeight="1" x14ac:dyDescent="0.3">
      <c r="A16" s="24" t="s">
        <v>28</v>
      </c>
      <c r="B16" s="25" t="s">
        <v>50</v>
      </c>
      <c r="C16" s="26">
        <v>0</v>
      </c>
      <c r="D16" s="27">
        <v>0</v>
      </c>
      <c r="E16" s="28">
        <v>90</v>
      </c>
      <c r="F16" s="28">
        <v>92</v>
      </c>
      <c r="G16" s="28">
        <v>94</v>
      </c>
      <c r="H16" s="29">
        <f>ROUND((0.5*TREND(E16:G16,{1,2,3},4)+0.5*G16*$I$17)*(1+C16*D16),1)</f>
        <v>96.5</v>
      </c>
      <c r="I16" s="24"/>
      <c r="J16" s="30"/>
    </row>
    <row r="17" spans="1:10" ht="21.75" customHeight="1" x14ac:dyDescent="0.3">
      <c r="A17" s="389" t="s">
        <v>55</v>
      </c>
      <c r="B17" s="383"/>
      <c r="C17" s="383"/>
      <c r="D17" s="383"/>
      <c r="E17" s="31">
        <f>SUM(E5:E16)</f>
        <v>1067</v>
      </c>
      <c r="F17" s="31">
        <f>SUM(F5:F16)</f>
        <v>1124</v>
      </c>
      <c r="G17" s="31">
        <f>SUM(G5:G16)</f>
        <v>1117</v>
      </c>
      <c r="H17" s="32">
        <f>SUM(H5:H16)</f>
        <v>1170.8999999999999</v>
      </c>
      <c r="I17" s="33">
        <f>TREND(E17:G17,{1,2,3},4)/G17</f>
        <v>1.0319307669352433</v>
      </c>
      <c r="J17" s="34" t="s">
        <v>56</v>
      </c>
    </row>
    <row r="18" spans="1:10" ht="6" customHeight="1" x14ac:dyDescent="0.3"/>
    <row r="19" spans="1:10" ht="21.75" customHeight="1" x14ac:dyDescent="0.3">
      <c r="A19" s="386" t="s">
        <v>57</v>
      </c>
      <c r="B19" s="378"/>
      <c r="C19" s="378"/>
      <c r="D19" s="378"/>
      <c r="E19" s="378"/>
      <c r="F19" s="378"/>
      <c r="G19" s="378"/>
      <c r="H19" s="378"/>
      <c r="I19" s="378"/>
      <c r="J19" s="378"/>
    </row>
    <row r="20" spans="1:10" ht="18" customHeight="1" x14ac:dyDescent="0.3">
      <c r="A20" s="35" t="s">
        <v>8</v>
      </c>
      <c r="B20" s="36" t="s">
        <v>58</v>
      </c>
      <c r="C20" s="37">
        <v>0</v>
      </c>
      <c r="D20" s="38">
        <v>0</v>
      </c>
      <c r="E20" s="39">
        <v>55</v>
      </c>
      <c r="F20" s="39">
        <v>58</v>
      </c>
      <c r="G20" s="39">
        <v>61</v>
      </c>
      <c r="H20" s="40">
        <f>ROUND((0.5*TREND(E20:G20,{1,2,3},4)+0.5*G20*$I$32)*(1+C20*D20),1)</f>
        <v>64.099999999999994</v>
      </c>
      <c r="I20" s="35"/>
      <c r="J20" s="41" t="s">
        <v>59</v>
      </c>
    </row>
    <row r="21" spans="1:10" ht="18" customHeight="1" x14ac:dyDescent="0.3">
      <c r="A21" s="24" t="s">
        <v>12</v>
      </c>
      <c r="B21" s="25" t="s">
        <v>58</v>
      </c>
      <c r="C21" s="26">
        <v>0</v>
      </c>
      <c r="D21" s="27">
        <v>0</v>
      </c>
      <c r="E21" s="28">
        <v>35</v>
      </c>
      <c r="F21" s="28">
        <v>37</v>
      </c>
      <c r="G21" s="28">
        <v>39</v>
      </c>
      <c r="H21" s="29">
        <f>ROUND((0.5*TREND(E21:G21,{1,2,3},4)+0.5*G21*$I$32)*(1+C21*D21),1)</f>
        <v>41.1</v>
      </c>
      <c r="I21" s="24"/>
      <c r="J21" s="42"/>
    </row>
    <row r="22" spans="1:10" ht="18" customHeight="1" x14ac:dyDescent="0.3">
      <c r="A22" s="35" t="s">
        <v>16</v>
      </c>
      <c r="B22" s="36" t="s">
        <v>58</v>
      </c>
      <c r="C22" s="37">
        <v>0</v>
      </c>
      <c r="D22" s="38">
        <v>0</v>
      </c>
      <c r="E22" s="39">
        <v>25</v>
      </c>
      <c r="F22" s="39">
        <v>26</v>
      </c>
      <c r="G22" s="39">
        <v>27</v>
      </c>
      <c r="H22" s="40">
        <f>ROUND((0.5*TREND(E22:G22,{1,2,3},4)+0.5*G22*$I$32)*(1+C22*D22),1)</f>
        <v>28.2</v>
      </c>
      <c r="I22" s="35"/>
      <c r="J22" s="41"/>
    </row>
    <row r="23" spans="1:10" ht="18" customHeight="1" x14ac:dyDescent="0.3">
      <c r="A23" s="24" t="s">
        <v>20</v>
      </c>
      <c r="B23" s="25" t="s">
        <v>58</v>
      </c>
      <c r="C23" s="26">
        <v>0</v>
      </c>
      <c r="D23" s="27">
        <v>0</v>
      </c>
      <c r="E23" s="28">
        <v>20</v>
      </c>
      <c r="F23" s="28">
        <v>40</v>
      </c>
      <c r="G23" s="28">
        <v>22</v>
      </c>
      <c r="H23" s="29">
        <f>ROUND((0.5*TREND(E23:G23,{1,2,3},4)+0.5*G23*$I$32)*(1+C23*D23),1)</f>
        <v>26.3</v>
      </c>
      <c r="I23" s="24"/>
      <c r="J23" s="42" t="s">
        <v>60</v>
      </c>
    </row>
    <row r="24" spans="1:10" ht="18" customHeight="1" x14ac:dyDescent="0.3">
      <c r="A24" s="35" t="s">
        <v>21</v>
      </c>
      <c r="B24" s="36" t="s">
        <v>58</v>
      </c>
      <c r="C24" s="37">
        <v>0</v>
      </c>
      <c r="D24" s="38">
        <v>0</v>
      </c>
      <c r="E24" s="39">
        <v>18</v>
      </c>
      <c r="F24" s="39">
        <v>19</v>
      </c>
      <c r="G24" s="39">
        <v>20</v>
      </c>
      <c r="H24" s="40">
        <f>ROUND((0.5*TREND(E24:G24,{1,2,3},4)+0.5*G24*$I$32)*(1+C24*D24),1)</f>
        <v>21</v>
      </c>
      <c r="I24" s="35"/>
      <c r="J24" s="41"/>
    </row>
    <row r="25" spans="1:10" ht="18" customHeight="1" x14ac:dyDescent="0.3">
      <c r="A25" s="24" t="s">
        <v>22</v>
      </c>
      <c r="B25" s="25" t="s">
        <v>58</v>
      </c>
      <c r="C25" s="26">
        <v>1</v>
      </c>
      <c r="D25" s="27">
        <v>0.1</v>
      </c>
      <c r="E25" s="28">
        <v>15</v>
      </c>
      <c r="F25" s="28">
        <v>16</v>
      </c>
      <c r="G25" s="28">
        <v>17</v>
      </c>
      <c r="H25" s="29">
        <f>ROUND((0.5*TREND(E25:G25,{1,2,3},4)+0.5*G25*$I$32)*(1+C25*D25),1)</f>
        <v>19.8</v>
      </c>
      <c r="I25" s="24"/>
      <c r="J25" s="42" t="s">
        <v>61</v>
      </c>
    </row>
    <row r="26" spans="1:10" ht="18" customHeight="1" x14ac:dyDescent="0.3">
      <c r="A26" s="35" t="s">
        <v>23</v>
      </c>
      <c r="B26" s="36" t="s">
        <v>58</v>
      </c>
      <c r="C26" s="37">
        <v>0</v>
      </c>
      <c r="D26" s="38">
        <v>0</v>
      </c>
      <c r="E26" s="39">
        <v>15</v>
      </c>
      <c r="F26" s="39">
        <v>16</v>
      </c>
      <c r="G26" s="39">
        <v>17</v>
      </c>
      <c r="H26" s="40">
        <f>ROUND((0.5*TREND(E26:G26,{1,2,3},4)+0.5*G26*$I$32)*(1+C26*D26),1)</f>
        <v>18</v>
      </c>
      <c r="I26" s="35"/>
      <c r="J26" s="41"/>
    </row>
    <row r="27" spans="1:10" ht="18" customHeight="1" x14ac:dyDescent="0.3">
      <c r="A27" s="24" t="s">
        <v>24</v>
      </c>
      <c r="B27" s="25" t="s">
        <v>58</v>
      </c>
      <c r="C27" s="26">
        <v>0</v>
      </c>
      <c r="D27" s="27">
        <v>0</v>
      </c>
      <c r="E27" s="28">
        <v>20</v>
      </c>
      <c r="F27" s="28">
        <v>21</v>
      </c>
      <c r="G27" s="28">
        <v>22</v>
      </c>
      <c r="H27" s="29">
        <f>ROUND((0.5*TREND(E27:G27,{1,2,3},4)+0.5*G27*$I$32)*(1+C27*D27),1)</f>
        <v>23.1</v>
      </c>
      <c r="I27" s="24"/>
      <c r="J27" s="42"/>
    </row>
    <row r="28" spans="1:10" ht="18" customHeight="1" x14ac:dyDescent="0.3">
      <c r="A28" s="35" t="s">
        <v>25</v>
      </c>
      <c r="B28" s="36" t="s">
        <v>58</v>
      </c>
      <c r="C28" s="37">
        <v>0</v>
      </c>
      <c r="D28" s="38">
        <v>0</v>
      </c>
      <c r="E28" s="39">
        <v>45</v>
      </c>
      <c r="F28" s="39">
        <v>47</v>
      </c>
      <c r="G28" s="39">
        <v>50</v>
      </c>
      <c r="H28" s="40">
        <f>ROUND((0.5*TREND(E28:G28,{1,2,3},4)+0.5*G28*$I$32)*(1+C28*D28),1)</f>
        <v>52.5</v>
      </c>
      <c r="I28" s="35"/>
      <c r="J28" s="41" t="s">
        <v>62</v>
      </c>
    </row>
    <row r="29" spans="1:10" ht="18" customHeight="1" x14ac:dyDescent="0.3">
      <c r="A29" s="24" t="s">
        <v>26</v>
      </c>
      <c r="B29" s="25" t="s">
        <v>58</v>
      </c>
      <c r="C29" s="26">
        <v>0</v>
      </c>
      <c r="D29" s="27">
        <v>0</v>
      </c>
      <c r="E29" s="28">
        <v>110</v>
      </c>
      <c r="F29" s="28">
        <v>116</v>
      </c>
      <c r="G29" s="28">
        <v>122</v>
      </c>
      <c r="H29" s="29">
        <f>ROUND((0.5*TREND(E29:G29,{1,2,3},4)+0.5*G29*$I$32)*(1+C29*D29),1)</f>
        <v>128.30000000000001</v>
      </c>
      <c r="I29" s="24"/>
      <c r="J29" s="42" t="s">
        <v>63</v>
      </c>
    </row>
    <row r="30" spans="1:10" ht="18" customHeight="1" x14ac:dyDescent="0.3">
      <c r="A30" s="35" t="s">
        <v>27</v>
      </c>
      <c r="B30" s="36" t="s">
        <v>58</v>
      </c>
      <c r="C30" s="37">
        <v>1</v>
      </c>
      <c r="D30" s="38">
        <v>0.2</v>
      </c>
      <c r="E30" s="39">
        <v>220</v>
      </c>
      <c r="F30" s="39">
        <v>231</v>
      </c>
      <c r="G30" s="39">
        <v>243</v>
      </c>
      <c r="H30" s="40">
        <f>ROUND((0.5*TREND(E30:G30,{1,2,3},4)+0.5*G30*$I$32)*(1+C30*D30),1)</f>
        <v>306.3</v>
      </c>
      <c r="I30" s="35"/>
      <c r="J30" s="41" t="s">
        <v>64</v>
      </c>
    </row>
    <row r="31" spans="1:10" ht="18" customHeight="1" x14ac:dyDescent="0.3">
      <c r="A31" s="24" t="s">
        <v>28</v>
      </c>
      <c r="B31" s="25" t="s">
        <v>58</v>
      </c>
      <c r="C31" s="26">
        <v>0</v>
      </c>
      <c r="D31" s="27">
        <v>0</v>
      </c>
      <c r="E31" s="28">
        <v>280</v>
      </c>
      <c r="F31" s="28">
        <v>294</v>
      </c>
      <c r="G31" s="28">
        <v>309</v>
      </c>
      <c r="H31" s="29">
        <f>ROUND((0.5*TREND(E31:G31,{1,2,3},4)+0.5*G31*$I$32)*(1+C31*D31),1)</f>
        <v>324.5</v>
      </c>
      <c r="I31" s="24"/>
      <c r="J31" s="42" t="s">
        <v>65</v>
      </c>
    </row>
    <row r="32" spans="1:10" ht="21.75" customHeight="1" x14ac:dyDescent="0.3">
      <c r="A32" s="387" t="s">
        <v>66</v>
      </c>
      <c r="B32" s="383"/>
      <c r="C32" s="383"/>
      <c r="D32" s="383"/>
      <c r="E32" s="43">
        <f>SUM(E20:E31)</f>
        <v>858</v>
      </c>
      <c r="F32" s="43">
        <f>SUM(F20:F31)</f>
        <v>921</v>
      </c>
      <c r="G32" s="43">
        <f>SUM(G20:G31)</f>
        <v>949</v>
      </c>
      <c r="H32" s="44">
        <f>SUM(H20:H31)</f>
        <v>1053.2</v>
      </c>
      <c r="I32" s="45">
        <f>TREND(E32:G32,{1,2,3},4)/G32</f>
        <v>1.0540920266947664</v>
      </c>
      <c r="J32" s="46" t="s">
        <v>67</v>
      </c>
    </row>
    <row r="33" spans="1:21" ht="15.75" customHeight="1" x14ac:dyDescent="0.3">
      <c r="A33" s="388" t="s">
        <v>68</v>
      </c>
      <c r="B33" s="383"/>
      <c r="C33" s="383"/>
      <c r="D33" s="383"/>
      <c r="E33" s="383"/>
      <c r="F33" s="383"/>
      <c r="G33" s="383"/>
      <c r="H33" s="383"/>
      <c r="I33" s="383"/>
      <c r="J33" s="383"/>
    </row>
    <row r="34" spans="1:21" ht="6" customHeight="1" x14ac:dyDescent="0.3"/>
    <row r="35" spans="1:21" ht="24" customHeight="1" x14ac:dyDescent="0.3">
      <c r="A35" s="385" t="s">
        <v>69</v>
      </c>
      <c r="B35" s="378"/>
      <c r="C35" s="378"/>
      <c r="D35" s="378"/>
      <c r="E35" s="378"/>
      <c r="F35" s="378"/>
      <c r="G35" s="378"/>
      <c r="H35" s="378"/>
      <c r="I35" s="378"/>
      <c r="J35" s="378"/>
    </row>
    <row r="36" spans="1:21" ht="101.4" customHeight="1" x14ac:dyDescent="0.3">
      <c r="A36" s="47" t="s">
        <v>70</v>
      </c>
      <c r="B36" s="382" t="s">
        <v>71</v>
      </c>
      <c r="C36" s="383"/>
      <c r="D36" s="383"/>
      <c r="E36" s="383"/>
      <c r="F36" s="383"/>
      <c r="G36" s="383"/>
      <c r="H36" s="383"/>
      <c r="I36" s="383"/>
      <c r="J36" s="383"/>
    </row>
    <row r="37" spans="1:21" ht="72" customHeight="1" x14ac:dyDescent="0.3">
      <c r="A37" s="47" t="s">
        <v>72</v>
      </c>
      <c r="B37" s="384" t="s">
        <v>73</v>
      </c>
      <c r="C37" s="383"/>
      <c r="D37" s="383"/>
      <c r="E37" s="383"/>
      <c r="F37" s="383"/>
      <c r="G37" s="383"/>
      <c r="H37" s="383"/>
      <c r="I37" s="383"/>
      <c r="J37" s="383"/>
    </row>
    <row r="38" spans="1:21" ht="72" customHeight="1" x14ac:dyDescent="0.3">
      <c r="A38" s="47" t="s">
        <v>74</v>
      </c>
      <c r="B38" s="382" t="s">
        <v>75</v>
      </c>
      <c r="C38" s="383"/>
      <c r="D38" s="383"/>
      <c r="E38" s="383"/>
      <c r="F38" s="383"/>
      <c r="G38" s="383"/>
      <c r="H38" s="383"/>
      <c r="I38" s="383"/>
      <c r="J38" s="383"/>
    </row>
    <row r="39" spans="1:21" ht="72" customHeight="1" x14ac:dyDescent="0.3">
      <c r="A39" s="47" t="s">
        <v>76</v>
      </c>
      <c r="B39" s="384" t="s">
        <v>77</v>
      </c>
      <c r="C39" s="383"/>
      <c r="D39" s="383"/>
      <c r="E39" s="383"/>
      <c r="F39" s="383"/>
      <c r="G39" s="383"/>
      <c r="H39" s="383"/>
      <c r="I39" s="383"/>
      <c r="J39" s="383"/>
    </row>
    <row r="40" spans="1:21" ht="72" customHeight="1" x14ac:dyDescent="0.3">
      <c r="A40" s="47" t="s">
        <v>78</v>
      </c>
      <c r="B40" s="382" t="s">
        <v>79</v>
      </c>
      <c r="C40" s="383"/>
      <c r="D40" s="383"/>
      <c r="E40" s="383"/>
      <c r="F40" s="383"/>
      <c r="G40" s="383"/>
      <c r="H40" s="383"/>
      <c r="I40" s="383"/>
      <c r="J40" s="383"/>
    </row>
    <row r="41" spans="1:21" ht="72" customHeight="1" x14ac:dyDescent="0.3">
      <c r="A41" s="47" t="s">
        <v>80</v>
      </c>
      <c r="B41" s="384" t="s">
        <v>81</v>
      </c>
      <c r="C41" s="383"/>
      <c r="D41" s="383"/>
      <c r="E41" s="383"/>
      <c r="F41" s="383"/>
      <c r="G41" s="383"/>
      <c r="H41" s="383"/>
      <c r="I41" s="383"/>
      <c r="J41" s="383"/>
    </row>
    <row r="44" spans="1:21" ht="4.95" customHeight="1" x14ac:dyDescent="0.3">
      <c r="A44" s="48"/>
      <c r="B44" s="48"/>
      <c r="C44" s="48"/>
      <c r="D44" s="48"/>
      <c r="E44" s="48"/>
      <c r="F44" s="48"/>
      <c r="G44" s="48"/>
      <c r="H44" s="48"/>
      <c r="I44" s="48"/>
      <c r="J44" s="48"/>
      <c r="K44" s="48"/>
      <c r="L44" s="48"/>
      <c r="M44" s="48"/>
      <c r="N44" s="48"/>
      <c r="O44" s="48"/>
      <c r="P44" s="48"/>
      <c r="Q44" s="48"/>
      <c r="R44" s="48"/>
      <c r="S44" s="48"/>
      <c r="T44" s="48"/>
      <c r="U44" s="48"/>
    </row>
    <row r="45" spans="1:21" ht="16.05" customHeight="1" x14ac:dyDescent="0.3">
      <c r="A45" s="49" t="s">
        <v>82</v>
      </c>
      <c r="B45" s="50">
        <f>SUMPRODUCT(ABS(F5:F16*(F5:F16/E5:E16)-G5:G16)/G5:G16)/12</f>
        <v>4.9559027102702602E-2</v>
      </c>
      <c r="C45" s="381" t="s">
        <v>83</v>
      </c>
      <c r="D45" s="373"/>
      <c r="E45" s="373"/>
      <c r="F45" s="373"/>
      <c r="G45" s="373"/>
      <c r="H45" s="373"/>
      <c r="I45" s="373"/>
      <c r="J45" s="373"/>
      <c r="K45" s="373"/>
      <c r="L45" s="373"/>
      <c r="M45" s="373"/>
      <c r="N45" s="373"/>
      <c r="O45" s="373"/>
      <c r="P45" s="373"/>
      <c r="Q45" s="373"/>
      <c r="R45" s="373"/>
      <c r="S45" s="373"/>
      <c r="T45" s="374"/>
    </row>
    <row r="47" spans="1:21" ht="4.95" customHeight="1" x14ac:dyDescent="0.3">
      <c r="A47" s="48"/>
      <c r="B47" s="48"/>
      <c r="C47" s="48"/>
      <c r="D47" s="48"/>
      <c r="E47" s="48"/>
      <c r="F47" s="48"/>
      <c r="G47" s="48"/>
      <c r="H47" s="48"/>
      <c r="I47" s="48"/>
      <c r="J47" s="48"/>
      <c r="K47" s="48"/>
      <c r="L47" s="48"/>
      <c r="M47" s="48"/>
      <c r="N47" s="48"/>
      <c r="O47" s="48"/>
      <c r="P47" s="48"/>
      <c r="Q47" s="48"/>
      <c r="R47" s="48"/>
      <c r="S47" s="48"/>
      <c r="T47" s="48"/>
      <c r="U47" s="48"/>
    </row>
    <row r="48" spans="1:21" ht="16.05" customHeight="1" x14ac:dyDescent="0.3">
      <c r="A48" s="49" t="s">
        <v>84</v>
      </c>
      <c r="B48" s="50">
        <f>SUMPRODUCT(ABS(F20:F31*(F20:F31/E20:E31)-G20:G31)/G20:G31)/12</f>
        <v>0.22333993646816763</v>
      </c>
      <c r="C48" s="381" t="s">
        <v>83</v>
      </c>
      <c r="D48" s="373"/>
      <c r="E48" s="373"/>
      <c r="F48" s="373"/>
      <c r="G48" s="373"/>
      <c r="H48" s="373"/>
      <c r="I48" s="373"/>
      <c r="J48" s="373"/>
      <c r="K48" s="373"/>
      <c r="L48" s="373"/>
      <c r="M48" s="373"/>
      <c r="N48" s="373"/>
      <c r="O48" s="373"/>
      <c r="P48" s="373"/>
      <c r="Q48" s="373"/>
      <c r="R48" s="373"/>
      <c r="S48" s="373"/>
      <c r="T48" s="374"/>
    </row>
  </sheetData>
  <mergeCells count="15">
    <mergeCell ref="A1:J1"/>
    <mergeCell ref="A17:D17"/>
    <mergeCell ref="B37:J37"/>
    <mergeCell ref="B36:J36"/>
    <mergeCell ref="A3:J3"/>
    <mergeCell ref="C48:T48"/>
    <mergeCell ref="B40:J40"/>
    <mergeCell ref="B41:J41"/>
    <mergeCell ref="A35:J35"/>
    <mergeCell ref="A19:J19"/>
    <mergeCell ref="C45:T45"/>
    <mergeCell ref="B39:J39"/>
    <mergeCell ref="A32:D32"/>
    <mergeCell ref="B38:J38"/>
    <mergeCell ref="A33:J33"/>
  </mergeCells>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5"/>
  <sheetViews>
    <sheetView workbookViewId="0"/>
  </sheetViews>
  <sheetFormatPr defaultRowHeight="14.4" x14ac:dyDescent="0.3"/>
  <cols>
    <col min="1" max="1" width="29" customWidth="1"/>
    <col min="2" max="2" width="8" customWidth="1"/>
    <col min="3" max="3" width="14.5546875" customWidth="1"/>
    <col min="4" max="4" width="8" customWidth="1"/>
    <col min="5" max="5" width="14.5546875" customWidth="1"/>
    <col min="6" max="6" width="7" customWidth="1"/>
    <col min="7" max="7" width="9" customWidth="1"/>
    <col min="10" max="10" width="12" customWidth="1"/>
    <col min="11" max="11" width="9" customWidth="1"/>
    <col min="14" max="14" width="10" customWidth="1"/>
    <col min="15" max="15" width="9" customWidth="1"/>
    <col min="20" max="20" width="8" customWidth="1"/>
    <col min="21" max="21" width="38" customWidth="1"/>
  </cols>
  <sheetData>
    <row r="1" spans="1:21" ht="40.049999999999997" customHeight="1" x14ac:dyDescent="0.3">
      <c r="A1" s="380" t="s">
        <v>85</v>
      </c>
      <c r="B1" s="373"/>
      <c r="C1" s="373"/>
      <c r="D1" s="373"/>
      <c r="E1" s="373"/>
      <c r="F1" s="373"/>
      <c r="G1" s="373"/>
      <c r="H1" s="373"/>
      <c r="I1" s="373"/>
      <c r="J1" s="373"/>
      <c r="K1" s="373"/>
      <c r="L1" s="373"/>
      <c r="M1" s="373"/>
      <c r="N1" s="373"/>
      <c r="O1" s="373"/>
      <c r="P1" s="373"/>
      <c r="Q1" s="373"/>
      <c r="R1" s="373"/>
      <c r="S1" s="373"/>
      <c r="T1" s="373"/>
      <c r="U1" s="374"/>
    </row>
    <row r="3" spans="1:21" ht="25.5" customHeight="1" x14ac:dyDescent="0.3">
      <c r="A3" s="398" t="s">
        <v>86</v>
      </c>
      <c r="B3" s="392"/>
      <c r="C3" s="392"/>
      <c r="D3" s="392"/>
      <c r="E3" s="392"/>
      <c r="F3" s="392"/>
      <c r="G3" s="392"/>
      <c r="H3" s="392"/>
      <c r="I3" s="392"/>
      <c r="J3" s="392"/>
      <c r="K3" s="392"/>
      <c r="L3" s="392"/>
      <c r="M3" s="392"/>
      <c r="N3" s="392"/>
      <c r="O3" s="392"/>
      <c r="P3" s="392"/>
      <c r="Q3" s="392"/>
      <c r="R3" s="392"/>
      <c r="S3" s="392"/>
      <c r="T3" s="392"/>
      <c r="U3" s="392"/>
    </row>
    <row r="4" spans="1:21" ht="18" customHeight="1" x14ac:dyDescent="0.3">
      <c r="A4" s="396" t="s">
        <v>87</v>
      </c>
      <c r="B4" s="392"/>
      <c r="C4" s="392"/>
      <c r="D4" s="392"/>
      <c r="E4" s="392"/>
      <c r="F4" s="392"/>
      <c r="G4" s="392"/>
      <c r="H4" s="392"/>
      <c r="I4" s="392"/>
      <c r="J4" s="392"/>
      <c r="K4" s="392"/>
      <c r="L4" s="392"/>
      <c r="M4" s="392"/>
      <c r="N4" s="392"/>
      <c r="O4" s="392"/>
      <c r="P4" s="392"/>
      <c r="Q4" s="392"/>
      <c r="R4" s="392"/>
      <c r="S4" s="392"/>
      <c r="T4" s="392"/>
      <c r="U4" s="392"/>
    </row>
    <row r="5" spans="1:21" ht="24" customHeight="1" x14ac:dyDescent="0.3">
      <c r="A5" s="51" t="s">
        <v>88</v>
      </c>
      <c r="B5" s="52">
        <v>0.2</v>
      </c>
      <c r="C5" s="51" t="s">
        <v>89</v>
      </c>
      <c r="D5" s="52">
        <v>0.3</v>
      </c>
      <c r="E5" s="51" t="s">
        <v>90</v>
      </c>
      <c r="F5" s="52">
        <v>0.5</v>
      </c>
      <c r="G5" s="51" t="s">
        <v>91</v>
      </c>
      <c r="H5" s="53">
        <f>B5+D5+F5</f>
        <v>1</v>
      </c>
      <c r="I5" s="54" t="s">
        <v>92</v>
      </c>
    </row>
    <row r="6" spans="1:21" ht="25.5" customHeight="1" x14ac:dyDescent="0.3">
      <c r="A6" s="55" t="s">
        <v>93</v>
      </c>
      <c r="B6" s="56">
        <v>0.15</v>
      </c>
      <c r="C6" s="397" t="s">
        <v>94</v>
      </c>
      <c r="D6" s="392"/>
      <c r="E6" s="392"/>
      <c r="F6" s="392"/>
      <c r="G6" s="392"/>
      <c r="H6" s="392"/>
      <c r="I6" s="392"/>
      <c r="J6" s="392"/>
      <c r="K6" s="392"/>
      <c r="L6" s="392"/>
      <c r="M6" s="392"/>
      <c r="N6" s="392"/>
      <c r="O6" s="392"/>
      <c r="P6" s="392"/>
      <c r="Q6" s="392"/>
      <c r="R6" s="392"/>
      <c r="S6" s="392"/>
      <c r="T6" s="392"/>
      <c r="U6" s="392"/>
    </row>
    <row r="7" spans="1:21" ht="6" customHeight="1" x14ac:dyDescent="0.3"/>
    <row r="8" spans="1:21" ht="19.5" customHeight="1" x14ac:dyDescent="0.3">
      <c r="A8" s="377" t="s">
        <v>95</v>
      </c>
      <c r="B8" s="378"/>
      <c r="C8" s="378"/>
      <c r="D8" s="378"/>
      <c r="E8" s="378"/>
      <c r="F8" s="378"/>
      <c r="G8" s="378"/>
      <c r="H8" s="378"/>
      <c r="I8" s="378"/>
      <c r="J8" s="378"/>
      <c r="K8" s="378"/>
      <c r="L8" s="378"/>
      <c r="M8" s="378"/>
      <c r="N8" s="378"/>
      <c r="O8" s="378"/>
      <c r="P8" s="378"/>
      <c r="Q8" s="378"/>
      <c r="R8" s="378"/>
      <c r="S8" s="378"/>
      <c r="T8" s="378"/>
      <c r="U8" s="378"/>
    </row>
    <row r="9" spans="1:21" ht="36" customHeight="1" x14ac:dyDescent="0.3">
      <c r="A9" s="57" t="s">
        <v>2</v>
      </c>
      <c r="B9" s="1" t="s">
        <v>96</v>
      </c>
      <c r="C9" s="1" t="s">
        <v>97</v>
      </c>
      <c r="D9" s="1" t="s">
        <v>98</v>
      </c>
      <c r="E9" s="1" t="s">
        <v>99</v>
      </c>
      <c r="F9" s="1" t="s">
        <v>100</v>
      </c>
      <c r="G9" s="58" t="s">
        <v>101</v>
      </c>
      <c r="H9" s="58" t="s">
        <v>102</v>
      </c>
      <c r="I9" s="58" t="s">
        <v>103</v>
      </c>
      <c r="J9" s="59" t="s">
        <v>104</v>
      </c>
      <c r="K9" s="60" t="s">
        <v>105</v>
      </c>
      <c r="L9" s="60" t="s">
        <v>106</v>
      </c>
      <c r="M9" s="60" t="s">
        <v>107</v>
      </c>
      <c r="N9" s="60" t="s">
        <v>108</v>
      </c>
      <c r="O9" s="61" t="s">
        <v>109</v>
      </c>
      <c r="P9" s="61" t="s">
        <v>110</v>
      </c>
      <c r="Q9" s="62" t="s">
        <v>111</v>
      </c>
      <c r="R9" s="63" t="s">
        <v>112</v>
      </c>
      <c r="S9" s="64" t="s">
        <v>113</v>
      </c>
      <c r="T9" s="64" t="s">
        <v>114</v>
      </c>
      <c r="U9" s="65" t="s">
        <v>115</v>
      </c>
    </row>
    <row r="10" spans="1:21" ht="18" customHeight="1" x14ac:dyDescent="0.3">
      <c r="A10" s="66" t="s">
        <v>8</v>
      </c>
      <c r="B10" s="67">
        <f>Initiale!E5</f>
        <v>81</v>
      </c>
      <c r="C10" s="67">
        <f>Initiale!F5</f>
        <v>83</v>
      </c>
      <c r="D10" s="67">
        <f>Initiale!G5</f>
        <v>85</v>
      </c>
      <c r="E10" s="68">
        <f>Initiale!C5</f>
        <v>0</v>
      </c>
      <c r="F10" s="69">
        <f>Initiale!D5</f>
        <v>0</v>
      </c>
      <c r="G10" s="70">
        <f>IF(ABS(B10-TREND(B10:D10,{1,2,3},1))/TREND(B10:D10,{1,2,3},1)&gt;$B$6,TREND(B10:D10,{1,2,3},1),B10)</f>
        <v>81</v>
      </c>
      <c r="H10" s="70">
        <f>IF(ABS(C10-TREND(B10:D10,{1,2,3},2))/TREND(B10:D10,{1,2,3},2)&gt;$B$6,TREND(B10:D10,{1,2,3},2),C10)</f>
        <v>83</v>
      </c>
      <c r="I10" s="70">
        <f>IF(ABS(D10-TREND(B10:D10,{1,2,3},3))/TREND(B10:D10,{1,2,3},3)&gt;$B$6,TREND(B10:D10,{1,2,3},3),D10)</f>
        <v>85</v>
      </c>
      <c r="J10" s="71" t="str">
        <f>IF(ABS(B10-TREND(B10:D10,{1,2,3},1))/TREND(B10:D10,{1,2,3},1)&gt;$B$6,"⚠Y-3 ","")&amp;IF(ABS(C10-TREND(B10:D10,{1,2,3},2))/TREND(B10:D10,{1,2,3},2)&gt;$B$6,"⚠Y-2 ","")&amp;IF(ABS(D10-TREND(B10:D10,{1,2,3},3))/TREND(B10:D10,{1,2,3},3)&gt;$B$6,"⚠Y-1","")</f>
        <v/>
      </c>
      <c r="K10" s="72">
        <f t="shared" ref="K10:K21" si="0">G10/($G$22/12)</f>
        <v>0.9109653233364573</v>
      </c>
      <c r="L10" s="72">
        <f t="shared" ref="L10:L21" si="1">H10/($H$22/12)</f>
        <v>0.90326481257557456</v>
      </c>
      <c r="M10" s="72">
        <f t="shared" ref="M10:M21" si="2">I10/($I$22/12)</f>
        <v>0.91316025067144135</v>
      </c>
      <c r="N10" s="73">
        <f t="shared" ref="N10:N21" si="3">$B$5*K10+$D$5*L10+$F$5*M10</f>
        <v>0.90975263377568449</v>
      </c>
      <c r="O10" s="74">
        <f t="shared" ref="O10:O21" si="4">ROUND($O$23/12*N10,1)</f>
        <v>86.8</v>
      </c>
      <c r="P10" s="75">
        <f t="shared" ref="P10:P21" si="5">ROUND(O10*(1+E10*F10),1)</f>
        <v>86.8</v>
      </c>
      <c r="Q10" s="76">
        <f>ROUND(TREND(G10:I10,{1,2,3},4)*(1+E10*F10),1)</f>
        <v>87</v>
      </c>
      <c r="R10" s="76">
        <f>ROUND(FORECAST(4,G10:I10,{1,2,3})*(1+E10*F10),1)</f>
        <v>87</v>
      </c>
      <c r="S10" s="77">
        <f>Initiale!H5</f>
        <v>87.4</v>
      </c>
      <c r="T10" s="78">
        <f t="shared" ref="T10:T21" si="6">ROUND(P10-S10,1)</f>
        <v>-0.6</v>
      </c>
      <c r="U10" s="79"/>
    </row>
    <row r="11" spans="1:21" ht="18" customHeight="1" x14ac:dyDescent="0.3">
      <c r="A11" s="80" t="s">
        <v>12</v>
      </c>
      <c r="B11" s="81">
        <f>Initiale!E6</f>
        <v>83</v>
      </c>
      <c r="C11" s="81">
        <f>Initiale!F6</f>
        <v>85</v>
      </c>
      <c r="D11" s="81">
        <f>Initiale!G6</f>
        <v>87</v>
      </c>
      <c r="E11" s="82">
        <f>Initiale!C6</f>
        <v>1</v>
      </c>
      <c r="F11" s="83">
        <f>Initiale!D6</f>
        <v>0.1</v>
      </c>
      <c r="G11" s="84">
        <f>IF(ABS(B11-TREND(B11:D11,{1,2,3},1))/TREND(B11:D11,{1,2,3},1)&gt;$B$6,TREND(B11:D11,{1,2,3},1),B11)</f>
        <v>83</v>
      </c>
      <c r="H11" s="84">
        <f>IF(ABS(C11-TREND(B11:D11,{1,2,3},2))/TREND(B11:D11,{1,2,3},2)&gt;$B$6,TREND(B11:D11,{1,2,3},2),C11)</f>
        <v>85</v>
      </c>
      <c r="I11" s="84">
        <f>IF(ABS(D11-TREND(B11:D11,{1,2,3},3))/TREND(B11:D11,{1,2,3},3)&gt;$B$6,TREND(B11:D11,{1,2,3},3),D11)</f>
        <v>87</v>
      </c>
      <c r="J11" s="71" t="str">
        <f>IF(ABS(B11-TREND(B11:D11,{1,2,3},1))/TREND(B11:D11,{1,2,3},1)&gt;$B$6,"⚠Y-3 ","")&amp;IF(ABS(C11-TREND(B11:D11,{1,2,3},2))/TREND(B11:D11,{1,2,3},2)&gt;$B$6,"⚠Y-2 ","")&amp;IF(ABS(D11-TREND(B11:D11,{1,2,3},3))/TREND(B11:D11,{1,2,3},3)&gt;$B$6,"⚠Y-1","")</f>
        <v/>
      </c>
      <c r="K11" s="85">
        <f t="shared" si="0"/>
        <v>0.9334582942830365</v>
      </c>
      <c r="L11" s="85">
        <f t="shared" si="1"/>
        <v>0.9250302297460703</v>
      </c>
      <c r="M11" s="85">
        <f t="shared" si="2"/>
        <v>0.93464637421665175</v>
      </c>
      <c r="N11" s="73">
        <f t="shared" si="3"/>
        <v>0.9315239148887543</v>
      </c>
      <c r="O11" s="86">
        <f t="shared" si="4"/>
        <v>88.9</v>
      </c>
      <c r="P11" s="87">
        <f t="shared" si="5"/>
        <v>97.8</v>
      </c>
      <c r="Q11" s="88">
        <f>ROUND(TREND(G11:I11,{1,2,3},4)*(1+E11*F11),1)</f>
        <v>97.9</v>
      </c>
      <c r="R11" s="88">
        <f>ROUND(FORECAST(4,G11:I11,{1,2,3})*(1+E11*F11),1)</f>
        <v>97.9</v>
      </c>
      <c r="S11" s="77">
        <f>Initiale!H6</f>
        <v>98.3</v>
      </c>
      <c r="T11" s="89">
        <f t="shared" si="6"/>
        <v>-0.5</v>
      </c>
      <c r="U11" s="90" t="s">
        <v>116</v>
      </c>
    </row>
    <row r="12" spans="1:21" ht="18" customHeight="1" x14ac:dyDescent="0.3">
      <c r="A12" s="66" t="s">
        <v>16</v>
      </c>
      <c r="B12" s="67">
        <f>Initiale!E7</f>
        <v>86</v>
      </c>
      <c r="C12" s="67">
        <f>Initiale!F7</f>
        <v>88</v>
      </c>
      <c r="D12" s="67">
        <f>Initiale!G7</f>
        <v>90</v>
      </c>
      <c r="E12" s="68">
        <f>Initiale!C7</f>
        <v>1</v>
      </c>
      <c r="F12" s="69">
        <f>Initiale!D7</f>
        <v>0.1</v>
      </c>
      <c r="G12" s="70">
        <f>IF(ABS(B12-TREND(B12:D12,{1,2,3},1))/TREND(B12:D12,{1,2,3},1)&gt;$B$6,TREND(B12:D12,{1,2,3},1),B12)</f>
        <v>86</v>
      </c>
      <c r="H12" s="70">
        <f>IF(ABS(C12-TREND(B12:D12,{1,2,3},2))/TREND(B12:D12,{1,2,3},2)&gt;$B$6,TREND(B12:D12,{1,2,3},2),C12)</f>
        <v>88</v>
      </c>
      <c r="I12" s="70">
        <f>IF(ABS(D12-TREND(B12:D12,{1,2,3},3))/TREND(B12:D12,{1,2,3},3)&gt;$B$6,TREND(B12:D12,{1,2,3},3),D12)</f>
        <v>90</v>
      </c>
      <c r="J12" s="71" t="str">
        <f>IF(ABS(B12-TREND(B12:D12,{1,2,3},1))/TREND(B12:D12,{1,2,3},1)&gt;$B$6,"⚠Y-3 ","")&amp;IF(ABS(C12-TREND(B12:D12,{1,2,3},2))/TREND(B12:D12,{1,2,3},2)&gt;$B$6,"⚠Y-2 ","")&amp;IF(ABS(D12-TREND(B12:D12,{1,2,3},3))/TREND(B12:D12,{1,2,3},3)&gt;$B$6,"⚠Y-1","")</f>
        <v/>
      </c>
      <c r="K12" s="72">
        <f t="shared" si="0"/>
        <v>0.96719775070290526</v>
      </c>
      <c r="L12" s="72">
        <f t="shared" si="1"/>
        <v>0.95767835550181402</v>
      </c>
      <c r="M12" s="72">
        <f t="shared" si="2"/>
        <v>0.96687555953446735</v>
      </c>
      <c r="N12" s="73">
        <f t="shared" si="3"/>
        <v>0.96418083655835896</v>
      </c>
      <c r="O12" s="74">
        <f t="shared" si="4"/>
        <v>92</v>
      </c>
      <c r="P12" s="75">
        <f t="shared" si="5"/>
        <v>101.2</v>
      </c>
      <c r="Q12" s="76">
        <f>ROUND(TREND(G12:I12,{1,2,3},4)*(1+E12*F12),1)</f>
        <v>101.2</v>
      </c>
      <c r="R12" s="76">
        <f>ROUND(FORECAST(4,G12:I12,{1,2,3})*(1+E12*F12),1)</f>
        <v>101.2</v>
      </c>
      <c r="S12" s="77">
        <f>Initiale!H7</f>
        <v>101.7</v>
      </c>
      <c r="T12" s="78">
        <f t="shared" si="6"/>
        <v>-0.5</v>
      </c>
      <c r="U12" s="79" t="s">
        <v>116</v>
      </c>
    </row>
    <row r="13" spans="1:21" ht="18" customHeight="1" x14ac:dyDescent="0.3">
      <c r="A13" s="80" t="s">
        <v>20</v>
      </c>
      <c r="B13" s="81">
        <f>Initiale!E8</f>
        <v>84</v>
      </c>
      <c r="C13" s="81">
        <f>Initiale!F8</f>
        <v>86</v>
      </c>
      <c r="D13" s="81">
        <f>Initiale!G8</f>
        <v>88</v>
      </c>
      <c r="E13" s="82">
        <f>Initiale!C8</f>
        <v>0</v>
      </c>
      <c r="F13" s="83">
        <f>Initiale!D8</f>
        <v>0</v>
      </c>
      <c r="G13" s="84">
        <f>IF(ABS(B13-TREND(B13:D13,{1,2,3},1))/TREND(B13:D13,{1,2,3},1)&gt;$B$6,TREND(B13:D13,{1,2,3},1),B13)</f>
        <v>84</v>
      </c>
      <c r="H13" s="84">
        <f>IF(ABS(C13-TREND(B13:D13,{1,2,3},2))/TREND(B13:D13,{1,2,3},2)&gt;$B$6,TREND(B13:D13,{1,2,3},2),C13)</f>
        <v>86</v>
      </c>
      <c r="I13" s="84">
        <f>IF(ABS(D13-TREND(B13:D13,{1,2,3},3))/TREND(B13:D13,{1,2,3},3)&gt;$B$6,TREND(B13:D13,{1,2,3},3),D13)</f>
        <v>88</v>
      </c>
      <c r="J13" s="71" t="str">
        <f>IF(ABS(B13-TREND(B13:D13,{1,2,3},1))/TREND(B13:D13,{1,2,3},1)&gt;$B$6,"⚠Y-3 ","")&amp;IF(ABS(C13-TREND(B13:D13,{1,2,3},2))/TREND(B13:D13,{1,2,3},2)&gt;$B$6,"⚠Y-2 ","")&amp;IF(ABS(D13-TREND(B13:D13,{1,2,3},3))/TREND(B13:D13,{1,2,3},3)&gt;$B$6,"⚠Y-1","")</f>
        <v/>
      </c>
      <c r="K13" s="85">
        <f t="shared" si="0"/>
        <v>0.94470477975632605</v>
      </c>
      <c r="L13" s="85">
        <f t="shared" si="1"/>
        <v>0.93591293833131817</v>
      </c>
      <c r="M13" s="85">
        <f t="shared" si="2"/>
        <v>0.94538943598925695</v>
      </c>
      <c r="N13" s="73">
        <f t="shared" si="3"/>
        <v>0.94240955544528915</v>
      </c>
      <c r="O13" s="86">
        <f t="shared" si="4"/>
        <v>90</v>
      </c>
      <c r="P13" s="87">
        <f t="shared" si="5"/>
        <v>90</v>
      </c>
      <c r="Q13" s="88">
        <f>ROUND(TREND(G13:I13,{1,2,3},4)*(1+E13*F13),1)</f>
        <v>90</v>
      </c>
      <c r="R13" s="88">
        <f>ROUND(FORECAST(4,G13:I13,{1,2,3})*(1+E13*F13),1)</f>
        <v>90</v>
      </c>
      <c r="S13" s="77">
        <f>Initiale!H8</f>
        <v>90.4</v>
      </c>
      <c r="T13" s="89">
        <f t="shared" si="6"/>
        <v>-0.4</v>
      </c>
      <c r="U13" s="90"/>
    </row>
    <row r="14" spans="1:21" ht="18" customHeight="1" x14ac:dyDescent="0.3">
      <c r="A14" s="66" t="s">
        <v>21</v>
      </c>
      <c r="B14" s="67">
        <f>Initiale!E9</f>
        <v>82</v>
      </c>
      <c r="C14" s="67">
        <f>Initiale!F9</f>
        <v>84</v>
      </c>
      <c r="D14" s="67">
        <f>Initiale!G9</f>
        <v>86</v>
      </c>
      <c r="E14" s="68">
        <f>Initiale!C9</f>
        <v>0</v>
      </c>
      <c r="F14" s="69">
        <f>Initiale!D9</f>
        <v>0</v>
      </c>
      <c r="G14" s="70">
        <f>IF(ABS(B14-TREND(B14:D14,{1,2,3},1))/TREND(B14:D14,{1,2,3},1)&gt;$B$6,TREND(B14:D14,{1,2,3},1),B14)</f>
        <v>82</v>
      </c>
      <c r="H14" s="70">
        <f>IF(ABS(C14-TREND(B14:D14,{1,2,3},2))/TREND(B14:D14,{1,2,3},2)&gt;$B$6,TREND(B14:D14,{1,2,3},2),C14)</f>
        <v>84</v>
      </c>
      <c r="I14" s="70">
        <f>IF(ABS(D14-TREND(B14:D14,{1,2,3},3))/TREND(B14:D14,{1,2,3},3)&gt;$B$6,TREND(B14:D14,{1,2,3},3),D14)</f>
        <v>86</v>
      </c>
      <c r="J14" s="71" t="str">
        <f>IF(ABS(B14-TREND(B14:D14,{1,2,3},1))/TREND(B14:D14,{1,2,3},1)&gt;$B$6,"⚠Y-3 ","")&amp;IF(ABS(C14-TREND(B14:D14,{1,2,3},2))/TREND(B14:D14,{1,2,3},2)&gt;$B$6,"⚠Y-2 ","")&amp;IF(ABS(D14-TREND(B14:D14,{1,2,3},3))/TREND(B14:D14,{1,2,3},3)&gt;$B$6,"⚠Y-1","")</f>
        <v/>
      </c>
      <c r="K14" s="72">
        <f t="shared" si="0"/>
        <v>0.92221180880974696</v>
      </c>
      <c r="L14" s="72">
        <f t="shared" si="1"/>
        <v>0.91414752116082243</v>
      </c>
      <c r="M14" s="72">
        <f t="shared" si="2"/>
        <v>0.92390331244404655</v>
      </c>
      <c r="N14" s="73">
        <f t="shared" si="3"/>
        <v>0.92063827433221945</v>
      </c>
      <c r="O14" s="74">
        <f t="shared" si="4"/>
        <v>87.9</v>
      </c>
      <c r="P14" s="75">
        <f t="shared" si="5"/>
        <v>87.9</v>
      </c>
      <c r="Q14" s="76">
        <f>ROUND(TREND(G14:I14,{1,2,3},4)*(1+E14*F14),1)</f>
        <v>88</v>
      </c>
      <c r="R14" s="76">
        <f>ROUND(FORECAST(4,G14:I14,{1,2,3})*(1+E14*F14),1)</f>
        <v>88</v>
      </c>
      <c r="S14" s="77">
        <f>Initiale!H9</f>
        <v>88.4</v>
      </c>
      <c r="T14" s="78">
        <f t="shared" si="6"/>
        <v>-0.5</v>
      </c>
      <c r="U14" s="79"/>
    </row>
    <row r="15" spans="1:21" ht="18" customHeight="1" x14ac:dyDescent="0.3">
      <c r="A15" s="80" t="s">
        <v>22</v>
      </c>
      <c r="B15" s="81">
        <f>Initiale!E10</f>
        <v>79</v>
      </c>
      <c r="C15" s="81">
        <f>Initiale!F10</f>
        <v>81</v>
      </c>
      <c r="D15" s="81">
        <f>Initiale!G10</f>
        <v>83</v>
      </c>
      <c r="E15" s="82">
        <f>Initiale!C10</f>
        <v>0</v>
      </c>
      <c r="F15" s="83">
        <f>Initiale!D10</f>
        <v>0</v>
      </c>
      <c r="G15" s="84">
        <f>IF(ABS(B15-TREND(B15:D15,{1,2,3},1))/TREND(B15:D15,{1,2,3},1)&gt;$B$6,TREND(B15:D15,{1,2,3},1),B15)</f>
        <v>79</v>
      </c>
      <c r="H15" s="84">
        <f>IF(ABS(C15-TREND(B15:D15,{1,2,3},2))/TREND(B15:D15,{1,2,3},2)&gt;$B$6,TREND(B15:D15,{1,2,3},2),C15)</f>
        <v>81</v>
      </c>
      <c r="I15" s="84">
        <f>IF(ABS(D15-TREND(B15:D15,{1,2,3},3))/TREND(B15:D15,{1,2,3},3)&gt;$B$6,TREND(B15:D15,{1,2,3},3),D15)</f>
        <v>83</v>
      </c>
      <c r="J15" s="71" t="str">
        <f>IF(ABS(B15-TREND(B15:D15,{1,2,3},1))/TREND(B15:D15,{1,2,3},1)&gt;$B$6,"⚠Y-3 ","")&amp;IF(ABS(C15-TREND(B15:D15,{1,2,3},2))/TREND(B15:D15,{1,2,3},2)&gt;$B$6,"⚠Y-2 ","")&amp;IF(ABS(D15-TREND(B15:D15,{1,2,3},3))/TREND(B15:D15,{1,2,3},3)&gt;$B$6,"⚠Y-1","")</f>
        <v/>
      </c>
      <c r="K15" s="85">
        <f t="shared" si="0"/>
        <v>0.8884723523898781</v>
      </c>
      <c r="L15" s="85">
        <f t="shared" si="1"/>
        <v>0.88149939540507871</v>
      </c>
      <c r="M15" s="85">
        <f t="shared" si="2"/>
        <v>0.89167412712623106</v>
      </c>
      <c r="N15" s="73">
        <f t="shared" si="3"/>
        <v>0.8879813526626148</v>
      </c>
      <c r="O15" s="86">
        <f t="shared" si="4"/>
        <v>84.8</v>
      </c>
      <c r="P15" s="87">
        <f t="shared" si="5"/>
        <v>84.8</v>
      </c>
      <c r="Q15" s="88">
        <f>ROUND(TREND(G15:I15,{1,2,3},4)*(1+E15*F15),1)</f>
        <v>85</v>
      </c>
      <c r="R15" s="88">
        <f>ROUND(FORECAST(4,G15:I15,{1,2,3})*(1+E15*F15),1)</f>
        <v>85</v>
      </c>
      <c r="S15" s="77">
        <f>Initiale!H10</f>
        <v>85.3</v>
      </c>
      <c r="T15" s="89">
        <f t="shared" si="6"/>
        <v>-0.5</v>
      </c>
      <c r="U15" s="90"/>
    </row>
    <row r="16" spans="1:21" ht="18" customHeight="1" x14ac:dyDescent="0.3">
      <c r="A16" s="66" t="s">
        <v>23</v>
      </c>
      <c r="B16" s="67">
        <f>Initiale!E11</f>
        <v>80</v>
      </c>
      <c r="C16" s="67">
        <f>Initiale!F11</f>
        <v>82</v>
      </c>
      <c r="D16" s="67">
        <f>Initiale!G11</f>
        <v>84</v>
      </c>
      <c r="E16" s="68">
        <f>Initiale!C11</f>
        <v>0</v>
      </c>
      <c r="F16" s="69">
        <f>Initiale!D11</f>
        <v>0</v>
      </c>
      <c r="G16" s="70">
        <f>IF(ABS(B16-TREND(B16:D16,{1,2,3},1))/TREND(B16:D16,{1,2,3},1)&gt;$B$6,TREND(B16:D16,{1,2,3},1),B16)</f>
        <v>80</v>
      </c>
      <c r="H16" s="70">
        <f>IF(ABS(C16-TREND(B16:D16,{1,2,3},2))/TREND(B16:D16,{1,2,3},2)&gt;$B$6,TREND(B16:D16,{1,2,3},2),C16)</f>
        <v>82</v>
      </c>
      <c r="I16" s="70">
        <f>IF(ABS(D16-TREND(B16:D16,{1,2,3},3))/TREND(B16:D16,{1,2,3},3)&gt;$B$6,TREND(B16:D16,{1,2,3},3),D16)</f>
        <v>84</v>
      </c>
      <c r="J16" s="71" t="str">
        <f>IF(ABS(B16-TREND(B16:D16,{1,2,3},1))/TREND(B16:D16,{1,2,3},1)&gt;$B$6,"⚠Y-3 ","")&amp;IF(ABS(C16-TREND(B16:D16,{1,2,3},2))/TREND(B16:D16,{1,2,3},2)&gt;$B$6,"⚠Y-2 ","")&amp;IF(ABS(D16-TREND(B16:D16,{1,2,3},3))/TREND(B16:D16,{1,2,3},3)&gt;$B$6,"⚠Y-1","")</f>
        <v/>
      </c>
      <c r="K16" s="72">
        <f t="shared" si="0"/>
        <v>0.89971883786316775</v>
      </c>
      <c r="L16" s="72">
        <f t="shared" si="1"/>
        <v>0.89238210399032669</v>
      </c>
      <c r="M16" s="72">
        <f t="shared" si="2"/>
        <v>0.90241718889883626</v>
      </c>
      <c r="N16" s="73">
        <f t="shared" si="3"/>
        <v>0.89886699321914976</v>
      </c>
      <c r="O16" s="74">
        <f t="shared" si="4"/>
        <v>85.8</v>
      </c>
      <c r="P16" s="75">
        <f t="shared" si="5"/>
        <v>85.8</v>
      </c>
      <c r="Q16" s="76">
        <f>ROUND(TREND(G16:I16,{1,2,3},4)*(1+E16*F16),1)</f>
        <v>86</v>
      </c>
      <c r="R16" s="76">
        <f>ROUND(FORECAST(4,G16:I16,{1,2,3})*(1+E16*F16),1)</f>
        <v>86</v>
      </c>
      <c r="S16" s="77">
        <f>Initiale!H11</f>
        <v>86.3</v>
      </c>
      <c r="T16" s="78">
        <f t="shared" si="6"/>
        <v>-0.5</v>
      </c>
      <c r="U16" s="79"/>
    </row>
    <row r="17" spans="1:21" ht="18" customHeight="1" x14ac:dyDescent="0.3">
      <c r="A17" s="80" t="s">
        <v>24</v>
      </c>
      <c r="B17" s="81">
        <f>Initiale!E12</f>
        <v>87</v>
      </c>
      <c r="C17" s="81">
        <f>Initiale!F12</f>
        <v>89</v>
      </c>
      <c r="D17" s="81">
        <f>Initiale!G12</f>
        <v>91</v>
      </c>
      <c r="E17" s="82">
        <f>Initiale!C12</f>
        <v>0</v>
      </c>
      <c r="F17" s="83">
        <f>Initiale!D12</f>
        <v>0</v>
      </c>
      <c r="G17" s="84">
        <f>IF(ABS(B17-TREND(B17:D17,{1,2,3},1))/TREND(B17:D17,{1,2,3},1)&gt;$B$6,TREND(B17:D17,{1,2,3},1),B17)</f>
        <v>87</v>
      </c>
      <c r="H17" s="84">
        <f>IF(ABS(C17-TREND(B17:D17,{1,2,3},2))/TREND(B17:D17,{1,2,3},2)&gt;$B$6,TREND(B17:D17,{1,2,3},2),C17)</f>
        <v>89</v>
      </c>
      <c r="I17" s="84">
        <f>IF(ABS(D17-TREND(B17:D17,{1,2,3},3))/TREND(B17:D17,{1,2,3},3)&gt;$B$6,TREND(B17:D17,{1,2,3},3),D17)</f>
        <v>91</v>
      </c>
      <c r="J17" s="71" t="str">
        <f>IF(ABS(B17-TREND(B17:D17,{1,2,3},1))/TREND(B17:D17,{1,2,3},1)&gt;$B$6,"⚠Y-3 ","")&amp;IF(ABS(C17-TREND(B17:D17,{1,2,3},2))/TREND(B17:D17,{1,2,3},2)&gt;$B$6,"⚠Y-2 ","")&amp;IF(ABS(D17-TREND(B17:D17,{1,2,3},3))/TREND(B17:D17,{1,2,3},3)&gt;$B$6,"⚠Y-1","")</f>
        <v/>
      </c>
      <c r="K17" s="85">
        <f t="shared" si="0"/>
        <v>0.97844423617619491</v>
      </c>
      <c r="L17" s="85">
        <f t="shared" si="1"/>
        <v>0.96856106408706188</v>
      </c>
      <c r="M17" s="85">
        <f t="shared" si="2"/>
        <v>0.97761862130707256</v>
      </c>
      <c r="N17" s="73">
        <f t="shared" si="3"/>
        <v>0.9750664771148938</v>
      </c>
      <c r="O17" s="86">
        <f t="shared" si="4"/>
        <v>93.1</v>
      </c>
      <c r="P17" s="87">
        <f t="shared" si="5"/>
        <v>93.1</v>
      </c>
      <c r="Q17" s="88">
        <f>ROUND(TREND(G17:I17,{1,2,3},4)*(1+E17*F17),1)</f>
        <v>93</v>
      </c>
      <c r="R17" s="88">
        <f>ROUND(FORECAST(4,G17:I17,{1,2,3})*(1+E17*F17),1)</f>
        <v>93</v>
      </c>
      <c r="S17" s="77">
        <f>Initiale!H12</f>
        <v>93.5</v>
      </c>
      <c r="T17" s="89">
        <f t="shared" si="6"/>
        <v>-0.4</v>
      </c>
      <c r="U17" s="90"/>
    </row>
    <row r="18" spans="1:21" ht="18" customHeight="1" x14ac:dyDescent="0.3">
      <c r="A18" s="66" t="s">
        <v>25</v>
      </c>
      <c r="B18" s="67">
        <f>Initiale!E13</f>
        <v>95</v>
      </c>
      <c r="C18" s="67">
        <f>Initiale!F13</f>
        <v>97</v>
      </c>
      <c r="D18" s="67">
        <f>Initiale!G13</f>
        <v>99</v>
      </c>
      <c r="E18" s="68">
        <f>Initiale!C13</f>
        <v>0</v>
      </c>
      <c r="F18" s="69">
        <f>Initiale!D13</f>
        <v>0</v>
      </c>
      <c r="G18" s="70">
        <f>IF(ABS(B18-TREND(B18:D18,{1,2,3},1))/TREND(B18:D18,{1,2,3},1)&gt;$B$6,TREND(B18:D18,{1,2,3},1),B18)</f>
        <v>95</v>
      </c>
      <c r="H18" s="70">
        <f>IF(ABS(C18-TREND(B18:D18,{1,2,3},2))/TREND(B18:D18,{1,2,3},2)&gt;$B$6,TREND(B18:D18,{1,2,3},2),C18)</f>
        <v>97</v>
      </c>
      <c r="I18" s="70">
        <f>IF(ABS(D18-TREND(B18:D18,{1,2,3},3))/TREND(B18:D18,{1,2,3},3)&gt;$B$6,TREND(B18:D18,{1,2,3},3),D18)</f>
        <v>99</v>
      </c>
      <c r="J18" s="71" t="str">
        <f>IF(ABS(B18-TREND(B18:D18,{1,2,3},1))/TREND(B18:D18,{1,2,3},1)&gt;$B$6,"⚠Y-3 ","")&amp;IF(ABS(C18-TREND(B18:D18,{1,2,3},2))/TREND(B18:D18,{1,2,3},2)&gt;$B$6,"⚠Y-2 ","")&amp;IF(ABS(D18-TREND(B18:D18,{1,2,3},3))/TREND(B18:D18,{1,2,3},3)&gt;$B$6,"⚠Y-1","")</f>
        <v/>
      </c>
      <c r="K18" s="72">
        <f t="shared" si="0"/>
        <v>1.0684161199625117</v>
      </c>
      <c r="L18" s="72">
        <f t="shared" si="1"/>
        <v>1.0556227327690448</v>
      </c>
      <c r="M18" s="72">
        <f t="shared" si="2"/>
        <v>1.0635631154879142</v>
      </c>
      <c r="N18" s="73">
        <f t="shared" si="3"/>
        <v>1.062151601567173</v>
      </c>
      <c r="O18" s="74">
        <f t="shared" si="4"/>
        <v>101.4</v>
      </c>
      <c r="P18" s="75">
        <f t="shared" si="5"/>
        <v>101.4</v>
      </c>
      <c r="Q18" s="76">
        <f>ROUND(TREND(G18:I18,{1,2,3},4)*(1+E18*F18),1)</f>
        <v>101</v>
      </c>
      <c r="R18" s="76">
        <f>ROUND(FORECAST(4,G18:I18,{1,2,3})*(1+E18*F18),1)</f>
        <v>101</v>
      </c>
      <c r="S18" s="77">
        <f>Initiale!H13</f>
        <v>101.6</v>
      </c>
      <c r="T18" s="78">
        <f t="shared" si="6"/>
        <v>-0.2</v>
      </c>
      <c r="U18" s="79"/>
    </row>
    <row r="19" spans="1:21" ht="18" customHeight="1" x14ac:dyDescent="0.3">
      <c r="A19" s="80" t="s">
        <v>26</v>
      </c>
      <c r="B19" s="81">
        <f>Initiale!E14</f>
        <v>120</v>
      </c>
      <c r="C19" s="81">
        <f>Initiale!F14</f>
        <v>155</v>
      </c>
      <c r="D19" s="81">
        <f>Initiale!G14</f>
        <v>126</v>
      </c>
      <c r="E19" s="82">
        <f>Initiale!C14</f>
        <v>0</v>
      </c>
      <c r="F19" s="83">
        <f>Initiale!D14</f>
        <v>0</v>
      </c>
      <c r="G19" s="84">
        <f>IF(ABS(B19-TREND(B19:D19,{1,2,3},1))/TREND(B19:D19,{1,2,3},1)&gt;$B$6,TREND(B19:D19,{1,2,3},1),B19)</f>
        <v>120</v>
      </c>
      <c r="H19" s="84">
        <f>IF(ABS(C19-TREND(B19:D19,{1,2,3},2))/TREND(B19:D19,{1,2,3},2)&gt;$B$6,TREND(B19:D19,{1,2,3},2),C19)</f>
        <v>133.66666666666666</v>
      </c>
      <c r="I19" s="84">
        <f>IF(ABS(D19-TREND(B19:D19,{1,2,3},3))/TREND(B19:D19,{1,2,3},3)&gt;$B$6,TREND(B19:D19,{1,2,3},3),D19)</f>
        <v>126</v>
      </c>
      <c r="J19" s="71" t="str">
        <f>IF(ABS(B19-TREND(B19:D19,{1,2,3},1))/TREND(B19:D19,{1,2,3},1)&gt;$B$6,"⚠Y-3 ","")&amp;IF(ABS(C19-TREND(B19:D19,{1,2,3},2))/TREND(B19:D19,{1,2,3},2)&gt;$B$6,"⚠Y-2 ","")&amp;IF(ABS(D19-TREND(B19:D19,{1,2,3},3))/TREND(B19:D19,{1,2,3},3)&gt;$B$6,"⚠Y-1","")</f>
        <v xml:space="preserve">⚠Y-2 </v>
      </c>
      <c r="K19" s="85">
        <f t="shared" si="0"/>
        <v>1.3495782567947516</v>
      </c>
      <c r="L19" s="85">
        <f t="shared" si="1"/>
        <v>1.4546553808948006</v>
      </c>
      <c r="M19" s="85">
        <f t="shared" si="2"/>
        <v>1.3536257833482543</v>
      </c>
      <c r="N19" s="73">
        <f t="shared" si="3"/>
        <v>1.3831251573015177</v>
      </c>
      <c r="O19" s="86">
        <f t="shared" si="4"/>
        <v>132</v>
      </c>
      <c r="P19" s="87">
        <f t="shared" si="5"/>
        <v>132</v>
      </c>
      <c r="Q19" s="88">
        <f>ROUND(TREND(G19:I19,{1,2,3},4)*(1+E19*F19),1)</f>
        <v>132.6</v>
      </c>
      <c r="R19" s="88">
        <f>ROUND(FORECAST(4,G19:I19,{1,2,3})*(1+E19*F19),1)</f>
        <v>132.6</v>
      </c>
      <c r="S19" s="77">
        <f>Initiale!H14</f>
        <v>134.80000000000001</v>
      </c>
      <c r="T19" s="89">
        <f t="shared" si="6"/>
        <v>-2.8</v>
      </c>
      <c r="U19" s="90" t="s">
        <v>117</v>
      </c>
    </row>
    <row r="20" spans="1:21" ht="18" customHeight="1" x14ac:dyDescent="0.3">
      <c r="A20" s="66" t="s">
        <v>27</v>
      </c>
      <c r="B20" s="67">
        <f>Initiale!E15</f>
        <v>100</v>
      </c>
      <c r="C20" s="67">
        <f>Initiale!F15</f>
        <v>102</v>
      </c>
      <c r="D20" s="67">
        <f>Initiale!G15</f>
        <v>104</v>
      </c>
      <c r="E20" s="68">
        <f>Initiale!C15</f>
        <v>0</v>
      </c>
      <c r="F20" s="69">
        <f>Initiale!D15</f>
        <v>0</v>
      </c>
      <c r="G20" s="70">
        <f>IF(ABS(B20-TREND(B20:D20,{1,2,3},1))/TREND(B20:D20,{1,2,3},1)&gt;$B$6,TREND(B20:D20,{1,2,3},1),B20)</f>
        <v>100</v>
      </c>
      <c r="H20" s="70">
        <f>IF(ABS(C20-TREND(B20:D20,{1,2,3},2))/TREND(B20:D20,{1,2,3},2)&gt;$B$6,TREND(B20:D20,{1,2,3},2),C20)</f>
        <v>102</v>
      </c>
      <c r="I20" s="70">
        <f>IF(ABS(D20-TREND(B20:D20,{1,2,3},3))/TREND(B20:D20,{1,2,3},3)&gt;$B$6,TREND(B20:D20,{1,2,3},3),D20)</f>
        <v>104</v>
      </c>
      <c r="J20" s="71" t="str">
        <f>IF(ABS(B20-TREND(B20:D20,{1,2,3},1))/TREND(B20:D20,{1,2,3},1)&gt;$B$6,"⚠Y-3 ","")&amp;IF(ABS(C20-TREND(B20:D20,{1,2,3},2))/TREND(B20:D20,{1,2,3},2)&gt;$B$6,"⚠Y-2 ","")&amp;IF(ABS(D20-TREND(B20:D20,{1,2,3},3))/TREND(B20:D20,{1,2,3},3)&gt;$B$6,"⚠Y-1","")</f>
        <v/>
      </c>
      <c r="K20" s="72">
        <f t="shared" si="0"/>
        <v>1.1246485473289596</v>
      </c>
      <c r="L20" s="72">
        <f t="shared" si="1"/>
        <v>1.1100362756952844</v>
      </c>
      <c r="M20" s="72">
        <f t="shared" si="2"/>
        <v>1.1172784243509402</v>
      </c>
      <c r="N20" s="73">
        <f t="shared" si="3"/>
        <v>1.1165798043498474</v>
      </c>
      <c r="O20" s="74">
        <f t="shared" si="4"/>
        <v>106.6</v>
      </c>
      <c r="P20" s="75">
        <f t="shared" si="5"/>
        <v>106.6</v>
      </c>
      <c r="Q20" s="76">
        <f>ROUND(TREND(G20:I20,{1,2,3},4)*(1+E20*F20),1)</f>
        <v>106</v>
      </c>
      <c r="R20" s="76">
        <f>ROUND(FORECAST(4,G20:I20,{1,2,3})*(1+E20*F20),1)</f>
        <v>106</v>
      </c>
      <c r="S20" s="77">
        <f>Initiale!H15</f>
        <v>106.7</v>
      </c>
      <c r="T20" s="78">
        <f t="shared" si="6"/>
        <v>-0.1</v>
      </c>
      <c r="U20" s="79"/>
    </row>
    <row r="21" spans="1:21" ht="18" customHeight="1" x14ac:dyDescent="0.3">
      <c r="A21" s="80" t="s">
        <v>28</v>
      </c>
      <c r="B21" s="81">
        <f>Initiale!E16</f>
        <v>90</v>
      </c>
      <c r="C21" s="81">
        <f>Initiale!F16</f>
        <v>92</v>
      </c>
      <c r="D21" s="81">
        <f>Initiale!G16</f>
        <v>94</v>
      </c>
      <c r="E21" s="82">
        <f>Initiale!C16</f>
        <v>0</v>
      </c>
      <c r="F21" s="83">
        <f>Initiale!D16</f>
        <v>0</v>
      </c>
      <c r="G21" s="84">
        <f>IF(ABS(B21-TREND(B21:D21,{1,2,3},1))/TREND(B21:D21,{1,2,3},1)&gt;$B$6,TREND(B21:D21,{1,2,3},1),B21)</f>
        <v>90</v>
      </c>
      <c r="H21" s="84">
        <f>IF(ABS(C21-TREND(B21:D21,{1,2,3},2))/TREND(B21:D21,{1,2,3},2)&gt;$B$6,TREND(B21:D21,{1,2,3},2),C21)</f>
        <v>92</v>
      </c>
      <c r="I21" s="84">
        <f>IF(ABS(D21-TREND(B21:D21,{1,2,3},3))/TREND(B21:D21,{1,2,3},3)&gt;$B$6,TREND(B21:D21,{1,2,3},3),D21)</f>
        <v>94</v>
      </c>
      <c r="J21" s="71" t="str">
        <f>IF(ABS(B21-TREND(B21:D21,{1,2,3},1))/TREND(B21:D21,{1,2,3},1)&gt;$B$6,"⚠Y-3 ","")&amp;IF(ABS(C21-TREND(B21:D21,{1,2,3},2))/TREND(B21:D21,{1,2,3},2)&gt;$B$6,"⚠Y-2 ","")&amp;IF(ABS(D21-TREND(B21:D21,{1,2,3},3))/TREND(B21:D21,{1,2,3},3)&gt;$B$6,"⚠Y-1","")</f>
        <v/>
      </c>
      <c r="K21" s="85">
        <f t="shared" si="0"/>
        <v>1.0121836925960637</v>
      </c>
      <c r="L21" s="85">
        <f t="shared" si="1"/>
        <v>1.0012091898428055</v>
      </c>
      <c r="M21" s="85">
        <f t="shared" si="2"/>
        <v>1.0098478066248882</v>
      </c>
      <c r="N21" s="73">
        <f t="shared" si="3"/>
        <v>1.0077233987844985</v>
      </c>
      <c r="O21" s="86">
        <f t="shared" si="4"/>
        <v>96.2</v>
      </c>
      <c r="P21" s="87">
        <f t="shared" si="5"/>
        <v>96.2</v>
      </c>
      <c r="Q21" s="88">
        <f>ROUND(TREND(G21:I21,{1,2,3},4)*(1+E21*F21),1)</f>
        <v>96</v>
      </c>
      <c r="R21" s="88">
        <f>ROUND(FORECAST(4,G21:I21,{1,2,3})*(1+E21*F21),1)</f>
        <v>96</v>
      </c>
      <c r="S21" s="77">
        <f>Initiale!H16</f>
        <v>96.5</v>
      </c>
      <c r="T21" s="89">
        <f t="shared" si="6"/>
        <v>-0.3</v>
      </c>
      <c r="U21" s="90"/>
    </row>
    <row r="22" spans="1:21" ht="19.5" customHeight="1" x14ac:dyDescent="0.3">
      <c r="A22" s="8" t="s">
        <v>29</v>
      </c>
      <c r="B22" s="9">
        <f>SUM(B10:B21)</f>
        <v>1067</v>
      </c>
      <c r="C22" s="9">
        <f>SUM(C10:C21)</f>
        <v>1124</v>
      </c>
      <c r="D22" s="9">
        <f>SUM(D10:D21)</f>
        <v>1117</v>
      </c>
      <c r="E22" s="91"/>
      <c r="F22" s="91"/>
      <c r="G22" s="92">
        <f>SUM(G10:G21)</f>
        <v>1067</v>
      </c>
      <c r="H22" s="92">
        <f>SUM(H10:H21)</f>
        <v>1102.6666666666665</v>
      </c>
      <c r="I22" s="92">
        <f>SUM(I10:I21)</f>
        <v>1117</v>
      </c>
      <c r="J22" s="91"/>
      <c r="K22" s="93">
        <f t="shared" ref="K22:S22" si="7">SUM(K10:K21)</f>
        <v>12</v>
      </c>
      <c r="L22" s="93">
        <f t="shared" si="7"/>
        <v>12.000000000000004</v>
      </c>
      <c r="M22" s="93">
        <f t="shared" si="7"/>
        <v>12.000000000000002</v>
      </c>
      <c r="N22" s="93">
        <f t="shared" si="7"/>
        <v>12</v>
      </c>
      <c r="O22" s="92">
        <f t="shared" si="7"/>
        <v>1145.5</v>
      </c>
      <c r="P22" s="92">
        <f t="shared" si="7"/>
        <v>1163.5999999999999</v>
      </c>
      <c r="Q22" s="92">
        <f t="shared" si="7"/>
        <v>1163.7</v>
      </c>
      <c r="R22" s="92">
        <f t="shared" si="7"/>
        <v>1163.7</v>
      </c>
      <c r="S22" s="92">
        <f t="shared" si="7"/>
        <v>1170.8999999999999</v>
      </c>
      <c r="T22" s="94">
        <f>P22-S22</f>
        <v>-7.2999999999999545</v>
      </c>
      <c r="U22" s="95" t="s">
        <v>118</v>
      </c>
    </row>
    <row r="23" spans="1:21" ht="24" customHeight="1" x14ac:dyDescent="0.3">
      <c r="A23" s="393" t="s">
        <v>119</v>
      </c>
      <c r="B23" s="392"/>
      <c r="C23" s="392"/>
      <c r="D23" s="392"/>
      <c r="E23" s="392"/>
      <c r="F23" s="392"/>
      <c r="G23" s="392"/>
      <c r="H23" s="392"/>
      <c r="I23" s="392"/>
      <c r="J23" s="392"/>
      <c r="K23" s="392"/>
      <c r="L23" s="392"/>
      <c r="M23" s="392"/>
      <c r="N23" s="392"/>
      <c r="O23" s="96">
        <f>TREND(G22:I22,{1,2,3},4)</f>
        <v>1145.5555555555554</v>
      </c>
      <c r="P23" s="97"/>
      <c r="Q23" s="97"/>
      <c r="R23" s="97"/>
      <c r="S23" s="97"/>
      <c r="T23" s="97"/>
      <c r="U23" s="97"/>
    </row>
    <row r="24" spans="1:21" ht="24" customHeight="1" x14ac:dyDescent="0.3">
      <c r="A24" s="395" t="s">
        <v>120</v>
      </c>
      <c r="B24" s="392"/>
      <c r="C24" s="392"/>
      <c r="D24" s="392"/>
      <c r="E24" s="392"/>
      <c r="F24" s="392"/>
      <c r="G24" s="392"/>
      <c r="H24" s="392"/>
      <c r="I24" s="392"/>
      <c r="J24" s="392"/>
      <c r="K24" s="392"/>
      <c r="L24" s="392"/>
      <c r="M24" s="392"/>
      <c r="N24" s="392"/>
      <c r="O24" s="98">
        <f>FORECAST(4,G22:I22,{1,2,3})</f>
        <v>1145.5555555555554</v>
      </c>
      <c r="P24" s="11"/>
      <c r="Q24" s="11"/>
      <c r="R24" s="11"/>
      <c r="S24" s="11"/>
      <c r="T24" s="11"/>
      <c r="U24" s="11"/>
    </row>
    <row r="25" spans="1:21" ht="6" customHeight="1" x14ac:dyDescent="0.3"/>
    <row r="26" spans="1:21" ht="19.5" customHeight="1" x14ac:dyDescent="0.3">
      <c r="A26" s="386" t="s">
        <v>121</v>
      </c>
      <c r="B26" s="378"/>
      <c r="C26" s="378"/>
      <c r="D26" s="378"/>
      <c r="E26" s="378"/>
      <c r="F26" s="378"/>
      <c r="G26" s="378"/>
      <c r="H26" s="378"/>
      <c r="I26" s="378"/>
      <c r="J26" s="378"/>
      <c r="K26" s="378"/>
      <c r="L26" s="378"/>
      <c r="M26" s="378"/>
      <c r="N26" s="378"/>
      <c r="O26" s="378"/>
      <c r="P26" s="378"/>
      <c r="Q26" s="378"/>
      <c r="R26" s="378"/>
      <c r="S26" s="378"/>
      <c r="T26" s="378"/>
      <c r="U26" s="378"/>
    </row>
    <row r="27" spans="1:21" ht="36" customHeight="1" x14ac:dyDescent="0.3">
      <c r="A27" s="57" t="s">
        <v>2</v>
      </c>
      <c r="B27" s="1" t="s">
        <v>96</v>
      </c>
      <c r="C27" s="1" t="s">
        <v>97</v>
      </c>
      <c r="D27" s="1" t="s">
        <v>98</v>
      </c>
      <c r="E27" s="1" t="s">
        <v>99</v>
      </c>
      <c r="F27" s="1" t="s">
        <v>100</v>
      </c>
      <c r="G27" s="58" t="s">
        <v>101</v>
      </c>
      <c r="H27" s="58" t="s">
        <v>102</v>
      </c>
      <c r="I27" s="58" t="s">
        <v>103</v>
      </c>
      <c r="J27" s="59" t="s">
        <v>104</v>
      </c>
      <c r="K27" s="60" t="s">
        <v>105</v>
      </c>
      <c r="L27" s="60" t="s">
        <v>106</v>
      </c>
      <c r="M27" s="60" t="s">
        <v>107</v>
      </c>
      <c r="N27" s="60" t="s">
        <v>108</v>
      </c>
      <c r="O27" s="61" t="s">
        <v>109</v>
      </c>
      <c r="P27" s="61" t="s">
        <v>110</v>
      </c>
      <c r="Q27" s="62" t="s">
        <v>111</v>
      </c>
      <c r="R27" s="63" t="s">
        <v>112</v>
      </c>
      <c r="S27" s="64" t="s">
        <v>113</v>
      </c>
      <c r="T27" s="64" t="s">
        <v>114</v>
      </c>
      <c r="U27" s="65" t="s">
        <v>115</v>
      </c>
    </row>
    <row r="28" spans="1:21" ht="18" customHeight="1" x14ac:dyDescent="0.3">
      <c r="A28" s="11" t="s">
        <v>8</v>
      </c>
      <c r="B28" s="12">
        <f>Initiale!E20</f>
        <v>55</v>
      </c>
      <c r="C28" s="12">
        <f>Initiale!F20</f>
        <v>58</v>
      </c>
      <c r="D28" s="12">
        <f>Initiale!G20</f>
        <v>61</v>
      </c>
      <c r="E28" s="99">
        <f>Initiale!C20</f>
        <v>0</v>
      </c>
      <c r="F28" s="100">
        <f>Initiale!D20</f>
        <v>0</v>
      </c>
      <c r="G28" s="70">
        <f>IF(ABS(B28-TREND(B28:D28,{1,2,3},1))/TREND(B28:D28,{1,2,3},1)&gt;$B$6,TREND(B28:D28,{1,2,3},1),B28)</f>
        <v>55</v>
      </c>
      <c r="H28" s="70">
        <f>IF(ABS(C28-TREND(B28:D28,{1,2,3},2))/TREND(B28:D28,{1,2,3},2)&gt;$B$6,TREND(B28:D28,{1,2,3},2),C28)</f>
        <v>58</v>
      </c>
      <c r="I28" s="70">
        <f>IF(ABS(D28-TREND(B28:D28,{1,2,3},3))/TREND(B28:D28,{1,2,3},3)&gt;$B$6,TREND(B28:D28,{1,2,3},3),D28)</f>
        <v>61</v>
      </c>
      <c r="J28" s="71" t="str">
        <f>IF(ABS(B28-TREND(B28:D28,{1,2,3},1))/TREND(B28:D28,{1,2,3},1)&gt;$B$6,"⚠Y-3 ","")&amp;IF(ABS(C28-TREND(B28:D28,{1,2,3},2))/TREND(B28:D28,{1,2,3},2)&gt;$B$6,"⚠Y-2 ","")&amp;IF(ABS(D28-TREND(B28:D28,{1,2,3},3))/TREND(B28:D28,{1,2,3},3)&gt;$B$6,"⚠Y-1","")</f>
        <v/>
      </c>
      <c r="K28" s="72">
        <f t="shared" ref="K28:K39" si="8">G28/($G$40/12)</f>
        <v>0.76359429232549181</v>
      </c>
      <c r="L28" s="72">
        <f t="shared" ref="L28:L39" si="9">H28/($H$40/12)</f>
        <v>0.76623853211009174</v>
      </c>
      <c r="M28" s="72">
        <f t="shared" ref="M28:M39" si="10">I28/($I$40/12)</f>
        <v>0.76622470341939986</v>
      </c>
      <c r="N28" s="73">
        <f t="shared" ref="N28:N39" si="11">$B$5*K28+$D$5*L28+$F$5*M28</f>
        <v>0.76570276980782581</v>
      </c>
      <c r="O28" s="74">
        <f t="shared" ref="O28:O39" si="12">ROUND($O$41/12*N28,1)</f>
        <v>63.8</v>
      </c>
      <c r="P28" s="75">
        <f t="shared" ref="P28:P39" si="13">ROUND(O28*(1+E28*F28),1)</f>
        <v>63.8</v>
      </c>
      <c r="Q28" s="76">
        <f>ROUND(TREND(G28:I28,{1,2,3},4)*(1+E28*F28),1)</f>
        <v>64</v>
      </c>
      <c r="R28" s="76">
        <f>ROUND(FORECAST(4,G28:I28,{1,2,3})*(1+E28*F28),1)</f>
        <v>64</v>
      </c>
      <c r="S28" s="77">
        <f>Initiale!H20</f>
        <v>64.099999999999994</v>
      </c>
      <c r="T28" s="78">
        <f t="shared" ref="T28:T39" si="14">ROUND(P28-S28,1)</f>
        <v>-0.3</v>
      </c>
      <c r="U28" s="101"/>
    </row>
    <row r="29" spans="1:21" ht="18" customHeight="1" x14ac:dyDescent="0.3">
      <c r="A29" s="80" t="s">
        <v>12</v>
      </c>
      <c r="B29" s="81">
        <f>Initiale!E21</f>
        <v>35</v>
      </c>
      <c r="C29" s="81">
        <f>Initiale!F21</f>
        <v>37</v>
      </c>
      <c r="D29" s="81">
        <f>Initiale!G21</f>
        <v>39</v>
      </c>
      <c r="E29" s="82">
        <f>Initiale!C21</f>
        <v>0</v>
      </c>
      <c r="F29" s="83">
        <f>Initiale!D21</f>
        <v>0</v>
      </c>
      <c r="G29" s="84">
        <f>IF(ABS(B29-TREND(B29:D29,{1,2,3},1))/TREND(B29:D29,{1,2,3},1)&gt;$B$6,TREND(B29:D29,{1,2,3},1),B29)</f>
        <v>35</v>
      </c>
      <c r="H29" s="84">
        <f>IF(ABS(C29-TREND(B29:D29,{1,2,3},2))/TREND(B29:D29,{1,2,3},2)&gt;$B$6,TREND(B29:D29,{1,2,3},2),C29)</f>
        <v>37</v>
      </c>
      <c r="I29" s="84">
        <f>IF(ABS(D29-TREND(B29:D29,{1,2,3},3))/TREND(B29:D29,{1,2,3},3)&gt;$B$6,TREND(B29:D29,{1,2,3},3),D29)</f>
        <v>39</v>
      </c>
      <c r="J29" s="71" t="str">
        <f>IF(ABS(B29-TREND(B29:D29,{1,2,3},1))/TREND(B29:D29,{1,2,3},1)&gt;$B$6,"⚠Y-3 ","")&amp;IF(ABS(C29-TREND(B29:D29,{1,2,3},2))/TREND(B29:D29,{1,2,3},2)&gt;$B$6,"⚠Y-2 ","")&amp;IF(ABS(D29-TREND(B29:D29,{1,2,3},3))/TREND(B29:D29,{1,2,3},3)&gt;$B$6,"⚠Y-1","")</f>
        <v/>
      </c>
      <c r="K29" s="85">
        <f t="shared" si="8"/>
        <v>0.48592364057076748</v>
      </c>
      <c r="L29" s="85">
        <f t="shared" si="9"/>
        <v>0.4888073394495413</v>
      </c>
      <c r="M29" s="85">
        <f t="shared" si="10"/>
        <v>0.48988136775994418</v>
      </c>
      <c r="N29" s="73">
        <f t="shared" si="11"/>
        <v>0.48876761382898798</v>
      </c>
      <c r="O29" s="86">
        <f t="shared" si="12"/>
        <v>40.700000000000003</v>
      </c>
      <c r="P29" s="87">
        <f t="shared" si="13"/>
        <v>40.700000000000003</v>
      </c>
      <c r="Q29" s="88">
        <f>ROUND(TREND(G29:I29,{1,2,3},4)*(1+E29*F29),1)</f>
        <v>41</v>
      </c>
      <c r="R29" s="88">
        <f>ROUND(FORECAST(4,G29:I29,{1,2,3})*(1+E29*F29),1)</f>
        <v>41</v>
      </c>
      <c r="S29" s="77">
        <f>Initiale!H21</f>
        <v>41.1</v>
      </c>
      <c r="T29" s="89">
        <f t="shared" si="14"/>
        <v>-0.4</v>
      </c>
      <c r="U29" s="90"/>
    </row>
    <row r="30" spans="1:21" ht="18" customHeight="1" x14ac:dyDescent="0.3">
      <c r="A30" s="11" t="s">
        <v>16</v>
      </c>
      <c r="B30" s="12">
        <f>Initiale!E22</f>
        <v>25</v>
      </c>
      <c r="C30" s="12">
        <f>Initiale!F22</f>
        <v>26</v>
      </c>
      <c r="D30" s="12">
        <f>Initiale!G22</f>
        <v>27</v>
      </c>
      <c r="E30" s="99">
        <f>Initiale!C22</f>
        <v>0</v>
      </c>
      <c r="F30" s="100">
        <f>Initiale!D22</f>
        <v>0</v>
      </c>
      <c r="G30" s="70">
        <f>IF(ABS(B30-TREND(B30:D30,{1,2,3},1))/TREND(B30:D30,{1,2,3},1)&gt;$B$6,TREND(B30:D30,{1,2,3},1),B30)</f>
        <v>25</v>
      </c>
      <c r="H30" s="70">
        <f>IF(ABS(C30-TREND(B30:D30,{1,2,3},2))/TREND(B30:D30,{1,2,3},2)&gt;$B$6,TREND(B30:D30,{1,2,3},2),C30)</f>
        <v>26</v>
      </c>
      <c r="I30" s="70">
        <f>IF(ABS(D30-TREND(B30:D30,{1,2,3},3))/TREND(B30:D30,{1,2,3},3)&gt;$B$6,TREND(B30:D30,{1,2,3},3),D30)</f>
        <v>27</v>
      </c>
      <c r="J30" s="71" t="str">
        <f>IF(ABS(B30-TREND(B30:D30,{1,2,3},1))/TREND(B30:D30,{1,2,3},1)&gt;$B$6,"⚠Y-3 ","")&amp;IF(ABS(C30-TREND(B30:D30,{1,2,3},2))/TREND(B30:D30,{1,2,3},2)&gt;$B$6,"⚠Y-2 ","")&amp;IF(ABS(D30-TREND(B30:D30,{1,2,3},3))/TREND(B30:D30,{1,2,3},3)&gt;$B$6,"⚠Y-1","")</f>
        <v/>
      </c>
      <c r="K30" s="72">
        <f t="shared" si="8"/>
        <v>0.34708831469340534</v>
      </c>
      <c r="L30" s="72">
        <f t="shared" si="9"/>
        <v>0.34348623853211008</v>
      </c>
      <c r="M30" s="72">
        <f t="shared" si="10"/>
        <v>0.33914863921842286</v>
      </c>
      <c r="N30" s="73">
        <f t="shared" si="11"/>
        <v>0.34203785410752552</v>
      </c>
      <c r="O30" s="74">
        <f t="shared" si="12"/>
        <v>28.5</v>
      </c>
      <c r="P30" s="75">
        <f t="shared" si="13"/>
        <v>28.5</v>
      </c>
      <c r="Q30" s="76">
        <f>ROUND(TREND(G30:I30,{1,2,3},4)*(1+E30*F30),1)</f>
        <v>28</v>
      </c>
      <c r="R30" s="76">
        <f>ROUND(FORECAST(4,G30:I30,{1,2,3})*(1+E30*F30),1)</f>
        <v>28</v>
      </c>
      <c r="S30" s="77">
        <f>Initiale!H22</f>
        <v>28.2</v>
      </c>
      <c r="T30" s="78">
        <f t="shared" si="14"/>
        <v>0.3</v>
      </c>
      <c r="U30" s="101"/>
    </row>
    <row r="31" spans="1:21" ht="18" customHeight="1" x14ac:dyDescent="0.3">
      <c r="A31" s="80" t="s">
        <v>20</v>
      </c>
      <c r="B31" s="81">
        <f>Initiale!E23</f>
        <v>20</v>
      </c>
      <c r="C31" s="81">
        <f>Initiale!F23</f>
        <v>40</v>
      </c>
      <c r="D31" s="81">
        <f>Initiale!G23</f>
        <v>22</v>
      </c>
      <c r="E31" s="82">
        <f>Initiale!C23</f>
        <v>0</v>
      </c>
      <c r="F31" s="83">
        <f>Initiale!D23</f>
        <v>0</v>
      </c>
      <c r="G31" s="84">
        <f>IF(ABS(B31-TREND(B31:D31,{1,2,3},1))/TREND(B31:D31,{1,2,3},1)&gt;$B$6,TREND(B31:D31,{1,2,3},1),B31)</f>
        <v>26.333333333333329</v>
      </c>
      <c r="H31" s="84">
        <f>IF(ABS(C31-TREND(B31:D31,{1,2,3},2))/TREND(B31:D31,{1,2,3},2)&gt;$B$6,TREND(B31:D31,{1,2,3},2),C31)</f>
        <v>27.333333333333332</v>
      </c>
      <c r="I31" s="84">
        <f>IF(ABS(D31-TREND(B31:D31,{1,2,3},3))/TREND(B31:D31,{1,2,3},3)&gt;$B$6,TREND(B31:D31,{1,2,3},3),D31)</f>
        <v>28.333333333333336</v>
      </c>
      <c r="J31" s="71" t="str">
        <f>IF(ABS(B31-TREND(B31:D31,{1,2,3},1))/TREND(B31:D31,{1,2,3},1)&gt;$B$6,"⚠Y-3 ","")&amp;IF(ABS(C31-TREND(B31:D31,{1,2,3},2))/TREND(B31:D31,{1,2,3},2)&gt;$B$6,"⚠Y-2 ","")&amp;IF(ABS(D31-TREND(B31:D31,{1,2,3},3))/TREND(B31:D31,{1,2,3},3)&gt;$B$6,"⚠Y-1","")</f>
        <v>⚠Y-3 ⚠Y-2 ⚠Y-1</v>
      </c>
      <c r="K31" s="85">
        <f t="shared" si="8"/>
        <v>0.36559969147705357</v>
      </c>
      <c r="L31" s="85">
        <f t="shared" si="9"/>
        <v>0.36110091743119266</v>
      </c>
      <c r="M31" s="85">
        <f t="shared" si="10"/>
        <v>0.35589672016748081</v>
      </c>
      <c r="N31" s="73">
        <f t="shared" si="11"/>
        <v>0.35939857360850891</v>
      </c>
      <c r="O31" s="86">
        <f t="shared" si="12"/>
        <v>30</v>
      </c>
      <c r="P31" s="87">
        <f t="shared" si="13"/>
        <v>30</v>
      </c>
      <c r="Q31" s="88">
        <f>ROUND(TREND(G31:I31,{1,2,3},4)*(1+E31*F31),1)</f>
        <v>29.3</v>
      </c>
      <c r="R31" s="88">
        <f>ROUND(FORECAST(4,G31:I31,{1,2,3})*(1+E31*F31),1)</f>
        <v>29.3</v>
      </c>
      <c r="S31" s="77">
        <f>Initiale!H23</f>
        <v>26.3</v>
      </c>
      <c r="T31" s="89">
        <f t="shared" si="14"/>
        <v>3.7</v>
      </c>
      <c r="U31" s="90" t="s">
        <v>122</v>
      </c>
    </row>
    <row r="32" spans="1:21" ht="18" customHeight="1" x14ac:dyDescent="0.3">
      <c r="A32" s="11" t="s">
        <v>21</v>
      </c>
      <c r="B32" s="12">
        <f>Initiale!E24</f>
        <v>18</v>
      </c>
      <c r="C32" s="12">
        <f>Initiale!F24</f>
        <v>19</v>
      </c>
      <c r="D32" s="12">
        <f>Initiale!G24</f>
        <v>20</v>
      </c>
      <c r="E32" s="99">
        <f>Initiale!C24</f>
        <v>0</v>
      </c>
      <c r="F32" s="100">
        <f>Initiale!D24</f>
        <v>0</v>
      </c>
      <c r="G32" s="70">
        <f>IF(ABS(B32-TREND(B32:D32,{1,2,3},1))/TREND(B32:D32,{1,2,3},1)&gt;$B$6,TREND(B32:D32,{1,2,3},1),B32)</f>
        <v>18</v>
      </c>
      <c r="H32" s="70">
        <f>IF(ABS(C32-TREND(B32:D32,{1,2,3},2))/TREND(B32:D32,{1,2,3},2)&gt;$B$6,TREND(B32:D32,{1,2,3},2),C32)</f>
        <v>19</v>
      </c>
      <c r="I32" s="70">
        <f>IF(ABS(D32-TREND(B32:D32,{1,2,3},3))/TREND(B32:D32,{1,2,3},3)&gt;$B$6,TREND(B32:D32,{1,2,3},3),D32)</f>
        <v>20</v>
      </c>
      <c r="J32" s="71" t="str">
        <f>IF(ABS(B32-TREND(B32:D32,{1,2,3},1))/TREND(B32:D32,{1,2,3},1)&gt;$B$6,"⚠Y-3 ","")&amp;IF(ABS(C32-TREND(B32:D32,{1,2,3},2))/TREND(B32:D32,{1,2,3},2)&gt;$B$6,"⚠Y-2 ","")&amp;IF(ABS(D32-TREND(B32:D32,{1,2,3},3))/TREND(B32:D32,{1,2,3},3)&gt;$B$6,"⚠Y-1","")</f>
        <v/>
      </c>
      <c r="K32" s="72">
        <f t="shared" si="8"/>
        <v>0.24990358657925185</v>
      </c>
      <c r="L32" s="72">
        <f t="shared" si="9"/>
        <v>0.2510091743119266</v>
      </c>
      <c r="M32" s="72">
        <f t="shared" si="10"/>
        <v>0.25122121423586879</v>
      </c>
      <c r="N32" s="73">
        <f t="shared" si="11"/>
        <v>0.25089407672736275</v>
      </c>
      <c r="O32" s="74">
        <f t="shared" si="12"/>
        <v>20.9</v>
      </c>
      <c r="P32" s="75">
        <f t="shared" si="13"/>
        <v>20.9</v>
      </c>
      <c r="Q32" s="76">
        <f>ROUND(TREND(G32:I32,{1,2,3},4)*(1+E32*F32),1)</f>
        <v>21</v>
      </c>
      <c r="R32" s="76">
        <f>ROUND(FORECAST(4,G32:I32,{1,2,3})*(1+E32*F32),1)</f>
        <v>21</v>
      </c>
      <c r="S32" s="77">
        <f>Initiale!H24</f>
        <v>21</v>
      </c>
      <c r="T32" s="78">
        <f t="shared" si="14"/>
        <v>-0.1</v>
      </c>
      <c r="U32" s="101"/>
    </row>
    <row r="33" spans="1:21" ht="18" customHeight="1" x14ac:dyDescent="0.3">
      <c r="A33" s="80" t="s">
        <v>22</v>
      </c>
      <c r="B33" s="81">
        <f>Initiale!E25</f>
        <v>15</v>
      </c>
      <c r="C33" s="81">
        <f>Initiale!F25</f>
        <v>16</v>
      </c>
      <c r="D33" s="81">
        <f>Initiale!G25</f>
        <v>17</v>
      </c>
      <c r="E33" s="82">
        <f>Initiale!C25</f>
        <v>1</v>
      </c>
      <c r="F33" s="83">
        <f>Initiale!D25</f>
        <v>0.1</v>
      </c>
      <c r="G33" s="84">
        <f>IF(ABS(B33-TREND(B33:D33,{1,2,3},1))/TREND(B33:D33,{1,2,3},1)&gt;$B$6,TREND(B33:D33,{1,2,3},1),B33)</f>
        <v>15</v>
      </c>
      <c r="H33" s="84">
        <f>IF(ABS(C33-TREND(B33:D33,{1,2,3},2))/TREND(B33:D33,{1,2,3},2)&gt;$B$6,TREND(B33:D33,{1,2,3},2),C33)</f>
        <v>16</v>
      </c>
      <c r="I33" s="84">
        <f>IF(ABS(D33-TREND(B33:D33,{1,2,3},3))/TREND(B33:D33,{1,2,3},3)&gt;$B$6,TREND(B33:D33,{1,2,3},3),D33)</f>
        <v>17</v>
      </c>
      <c r="J33" s="71" t="str">
        <f>IF(ABS(B33-TREND(B33:D33,{1,2,3},1))/TREND(B33:D33,{1,2,3},1)&gt;$B$6,"⚠Y-3 ","")&amp;IF(ABS(C33-TREND(B33:D33,{1,2,3},2))/TREND(B33:D33,{1,2,3},2)&gt;$B$6,"⚠Y-2 ","")&amp;IF(ABS(D33-TREND(B33:D33,{1,2,3},3))/TREND(B33:D33,{1,2,3},3)&gt;$B$6,"⚠Y-1","")</f>
        <v/>
      </c>
      <c r="K33" s="85">
        <f t="shared" si="8"/>
        <v>0.20825298881604321</v>
      </c>
      <c r="L33" s="85">
        <f t="shared" si="9"/>
        <v>0.21137614678899083</v>
      </c>
      <c r="M33" s="85">
        <f t="shared" si="10"/>
        <v>0.21353803210048847</v>
      </c>
      <c r="N33" s="73">
        <f t="shared" si="11"/>
        <v>0.21183245785015015</v>
      </c>
      <c r="O33" s="86">
        <f t="shared" si="12"/>
        <v>17.7</v>
      </c>
      <c r="P33" s="87">
        <f t="shared" si="13"/>
        <v>19.5</v>
      </c>
      <c r="Q33" s="88">
        <f>ROUND(TREND(G33:I33,{1,2,3},4)*(1+E33*F33),1)</f>
        <v>19.8</v>
      </c>
      <c r="R33" s="88">
        <f>ROUND(FORECAST(4,G33:I33,{1,2,3})*(1+E33*F33),1)</f>
        <v>19.8</v>
      </c>
      <c r="S33" s="77">
        <f>Initiale!H25</f>
        <v>19.8</v>
      </c>
      <c r="T33" s="89">
        <f t="shared" si="14"/>
        <v>-0.3</v>
      </c>
      <c r="U33" s="90" t="s">
        <v>123</v>
      </c>
    </row>
    <row r="34" spans="1:21" ht="18" customHeight="1" x14ac:dyDescent="0.3">
      <c r="A34" s="11" t="s">
        <v>23</v>
      </c>
      <c r="B34" s="12">
        <f>Initiale!E26</f>
        <v>15</v>
      </c>
      <c r="C34" s="12">
        <f>Initiale!F26</f>
        <v>16</v>
      </c>
      <c r="D34" s="12">
        <f>Initiale!G26</f>
        <v>17</v>
      </c>
      <c r="E34" s="99">
        <f>Initiale!C26</f>
        <v>0</v>
      </c>
      <c r="F34" s="100">
        <f>Initiale!D26</f>
        <v>0</v>
      </c>
      <c r="G34" s="70">
        <f>IF(ABS(B34-TREND(B34:D34,{1,2,3},1))/TREND(B34:D34,{1,2,3},1)&gt;$B$6,TREND(B34:D34,{1,2,3},1),B34)</f>
        <v>15</v>
      </c>
      <c r="H34" s="70">
        <f>IF(ABS(C34-TREND(B34:D34,{1,2,3},2))/TREND(B34:D34,{1,2,3},2)&gt;$B$6,TREND(B34:D34,{1,2,3},2),C34)</f>
        <v>16</v>
      </c>
      <c r="I34" s="70">
        <f>IF(ABS(D34-TREND(B34:D34,{1,2,3},3))/TREND(B34:D34,{1,2,3},3)&gt;$B$6,TREND(B34:D34,{1,2,3},3),D34)</f>
        <v>17</v>
      </c>
      <c r="J34" s="71" t="str">
        <f>IF(ABS(B34-TREND(B34:D34,{1,2,3},1))/TREND(B34:D34,{1,2,3},1)&gt;$B$6,"⚠Y-3 ","")&amp;IF(ABS(C34-TREND(B34:D34,{1,2,3},2))/TREND(B34:D34,{1,2,3},2)&gt;$B$6,"⚠Y-2 ","")&amp;IF(ABS(D34-TREND(B34:D34,{1,2,3},3))/TREND(B34:D34,{1,2,3},3)&gt;$B$6,"⚠Y-1","")</f>
        <v/>
      </c>
      <c r="K34" s="72">
        <f t="shared" si="8"/>
        <v>0.20825298881604321</v>
      </c>
      <c r="L34" s="72">
        <f t="shared" si="9"/>
        <v>0.21137614678899083</v>
      </c>
      <c r="M34" s="72">
        <f t="shared" si="10"/>
        <v>0.21353803210048847</v>
      </c>
      <c r="N34" s="73">
        <f t="shared" si="11"/>
        <v>0.21183245785015015</v>
      </c>
      <c r="O34" s="74">
        <f t="shared" si="12"/>
        <v>17.7</v>
      </c>
      <c r="P34" s="75">
        <f t="shared" si="13"/>
        <v>17.7</v>
      </c>
      <c r="Q34" s="76">
        <f>ROUND(TREND(G34:I34,{1,2,3},4)*(1+E34*F34),1)</f>
        <v>18</v>
      </c>
      <c r="R34" s="76">
        <f>ROUND(FORECAST(4,G34:I34,{1,2,3})*(1+E34*F34),1)</f>
        <v>18</v>
      </c>
      <c r="S34" s="77">
        <f>Initiale!H26</f>
        <v>18</v>
      </c>
      <c r="T34" s="78">
        <f t="shared" si="14"/>
        <v>-0.3</v>
      </c>
      <c r="U34" s="101"/>
    </row>
    <row r="35" spans="1:21" ht="18" customHeight="1" x14ac:dyDescent="0.3">
      <c r="A35" s="80" t="s">
        <v>24</v>
      </c>
      <c r="B35" s="81">
        <f>Initiale!E27</f>
        <v>20</v>
      </c>
      <c r="C35" s="81">
        <f>Initiale!F27</f>
        <v>21</v>
      </c>
      <c r="D35" s="81">
        <f>Initiale!G27</f>
        <v>22</v>
      </c>
      <c r="E35" s="82">
        <f>Initiale!C27</f>
        <v>0</v>
      </c>
      <c r="F35" s="83">
        <f>Initiale!D27</f>
        <v>0</v>
      </c>
      <c r="G35" s="84">
        <f>IF(ABS(B35-TREND(B35:D35,{1,2,3},1))/TREND(B35:D35,{1,2,3},1)&gt;$B$6,TREND(B35:D35,{1,2,3},1),B35)</f>
        <v>20</v>
      </c>
      <c r="H35" s="84">
        <f>IF(ABS(C35-TREND(B35:D35,{1,2,3},2))/TREND(B35:D35,{1,2,3},2)&gt;$B$6,TREND(B35:D35,{1,2,3},2),C35)</f>
        <v>21</v>
      </c>
      <c r="I35" s="84">
        <f>IF(ABS(D35-TREND(B35:D35,{1,2,3},3))/TREND(B35:D35,{1,2,3},3)&gt;$B$6,TREND(B35:D35,{1,2,3},3),D35)</f>
        <v>22</v>
      </c>
      <c r="J35" s="71" t="str">
        <f>IF(ABS(B35-TREND(B35:D35,{1,2,3},1))/TREND(B35:D35,{1,2,3},1)&gt;$B$6,"⚠Y-3 ","")&amp;IF(ABS(C35-TREND(B35:D35,{1,2,3},2))/TREND(B35:D35,{1,2,3},2)&gt;$B$6,"⚠Y-2 ","")&amp;IF(ABS(D35-TREND(B35:D35,{1,2,3},3))/TREND(B35:D35,{1,2,3},3)&gt;$B$6,"⚠Y-1","")</f>
        <v/>
      </c>
      <c r="K35" s="85">
        <f t="shared" si="8"/>
        <v>0.27767065175472427</v>
      </c>
      <c r="L35" s="85">
        <f t="shared" si="9"/>
        <v>0.27743119266055044</v>
      </c>
      <c r="M35" s="85">
        <f t="shared" si="10"/>
        <v>0.27634333565945568</v>
      </c>
      <c r="N35" s="73">
        <f t="shared" si="11"/>
        <v>0.27693515597883783</v>
      </c>
      <c r="O35" s="86">
        <f t="shared" si="12"/>
        <v>23.1</v>
      </c>
      <c r="P35" s="87">
        <f t="shared" si="13"/>
        <v>23.1</v>
      </c>
      <c r="Q35" s="88">
        <f>ROUND(TREND(G35:I35,{1,2,3},4)*(1+E35*F35),1)</f>
        <v>23</v>
      </c>
      <c r="R35" s="88">
        <f>ROUND(FORECAST(4,G35:I35,{1,2,3})*(1+E35*F35),1)</f>
        <v>23</v>
      </c>
      <c r="S35" s="77">
        <f>Initiale!H27</f>
        <v>23.1</v>
      </c>
      <c r="T35" s="89">
        <f t="shared" si="14"/>
        <v>0</v>
      </c>
      <c r="U35" s="90"/>
    </row>
    <row r="36" spans="1:21" ht="18" customHeight="1" x14ac:dyDescent="0.3">
      <c r="A36" s="11" t="s">
        <v>25</v>
      </c>
      <c r="B36" s="12">
        <f>Initiale!E28</f>
        <v>45</v>
      </c>
      <c r="C36" s="12">
        <f>Initiale!F28</f>
        <v>47</v>
      </c>
      <c r="D36" s="12">
        <f>Initiale!G28</f>
        <v>50</v>
      </c>
      <c r="E36" s="99">
        <f>Initiale!C28</f>
        <v>0</v>
      </c>
      <c r="F36" s="100">
        <f>Initiale!D28</f>
        <v>0</v>
      </c>
      <c r="G36" s="70">
        <f>IF(ABS(B36-TREND(B36:D36,{1,2,3},1))/TREND(B36:D36,{1,2,3},1)&gt;$B$6,TREND(B36:D36,{1,2,3},1),B36)</f>
        <v>45</v>
      </c>
      <c r="H36" s="70">
        <f>IF(ABS(C36-TREND(B36:D36,{1,2,3},2))/TREND(B36:D36,{1,2,3},2)&gt;$B$6,TREND(B36:D36,{1,2,3},2),C36)</f>
        <v>47</v>
      </c>
      <c r="I36" s="70">
        <f>IF(ABS(D36-TREND(B36:D36,{1,2,3},3))/TREND(B36:D36,{1,2,3},3)&gt;$B$6,TREND(B36:D36,{1,2,3},3),D36)</f>
        <v>50</v>
      </c>
      <c r="J36" s="71" t="str">
        <f>IF(ABS(B36-TREND(B36:D36,{1,2,3},1))/TREND(B36:D36,{1,2,3},1)&gt;$B$6,"⚠Y-3 ","")&amp;IF(ABS(C36-TREND(B36:D36,{1,2,3},2))/TREND(B36:D36,{1,2,3},2)&gt;$B$6,"⚠Y-2 ","")&amp;IF(ABS(D36-TREND(B36:D36,{1,2,3},3))/TREND(B36:D36,{1,2,3},3)&gt;$B$6,"⚠Y-1","")</f>
        <v/>
      </c>
      <c r="K36" s="72">
        <f t="shared" si="8"/>
        <v>0.62475896644812967</v>
      </c>
      <c r="L36" s="72">
        <f t="shared" si="9"/>
        <v>0.62091743119266052</v>
      </c>
      <c r="M36" s="72">
        <f t="shared" si="10"/>
        <v>0.62805303558967196</v>
      </c>
      <c r="N36" s="73">
        <f t="shared" si="11"/>
        <v>0.62525354044226011</v>
      </c>
      <c r="O36" s="74">
        <f t="shared" si="12"/>
        <v>52.1</v>
      </c>
      <c r="P36" s="75">
        <f t="shared" si="13"/>
        <v>52.1</v>
      </c>
      <c r="Q36" s="76">
        <f>ROUND(TREND(G36:I36,{1,2,3},4)*(1+E36*F36),1)</f>
        <v>52.3</v>
      </c>
      <c r="R36" s="76">
        <f>ROUND(FORECAST(4,G36:I36,{1,2,3})*(1+E36*F36),1)</f>
        <v>52.3</v>
      </c>
      <c r="S36" s="77">
        <f>Initiale!H28</f>
        <v>52.5</v>
      </c>
      <c r="T36" s="78">
        <f t="shared" si="14"/>
        <v>-0.4</v>
      </c>
      <c r="U36" s="101" t="s">
        <v>124</v>
      </c>
    </row>
    <row r="37" spans="1:21" ht="18" customHeight="1" x14ac:dyDescent="0.3">
      <c r="A37" s="80" t="s">
        <v>26</v>
      </c>
      <c r="B37" s="81">
        <f>Initiale!E29</f>
        <v>110</v>
      </c>
      <c r="C37" s="81">
        <f>Initiale!F29</f>
        <v>116</v>
      </c>
      <c r="D37" s="81">
        <f>Initiale!G29</f>
        <v>122</v>
      </c>
      <c r="E37" s="82">
        <f>Initiale!C29</f>
        <v>0</v>
      </c>
      <c r="F37" s="83">
        <f>Initiale!D29</f>
        <v>0</v>
      </c>
      <c r="G37" s="84">
        <f>IF(ABS(B37-TREND(B37:D37,{1,2,3},1))/TREND(B37:D37,{1,2,3},1)&gt;$B$6,TREND(B37:D37,{1,2,3},1),B37)</f>
        <v>110</v>
      </c>
      <c r="H37" s="84">
        <f>IF(ABS(C37-TREND(B37:D37,{1,2,3},2))/TREND(B37:D37,{1,2,3},2)&gt;$B$6,TREND(B37:D37,{1,2,3},2),C37)</f>
        <v>116</v>
      </c>
      <c r="I37" s="84">
        <f>IF(ABS(D37-TREND(B37:D37,{1,2,3},3))/TREND(B37:D37,{1,2,3},3)&gt;$B$6,TREND(B37:D37,{1,2,3},3),D37)</f>
        <v>122</v>
      </c>
      <c r="J37" s="71" t="str">
        <f>IF(ABS(B37-TREND(B37:D37,{1,2,3},1))/TREND(B37:D37,{1,2,3},1)&gt;$B$6,"⚠Y-3 ","")&amp;IF(ABS(C37-TREND(B37:D37,{1,2,3},2))/TREND(B37:D37,{1,2,3},2)&gt;$B$6,"⚠Y-2 ","")&amp;IF(ABS(D37-TREND(B37:D37,{1,2,3},3))/TREND(B37:D37,{1,2,3},3)&gt;$B$6,"⚠Y-1","")</f>
        <v/>
      </c>
      <c r="K37" s="85">
        <f t="shared" si="8"/>
        <v>1.5271885846509836</v>
      </c>
      <c r="L37" s="85">
        <f t="shared" si="9"/>
        <v>1.5324770642201835</v>
      </c>
      <c r="M37" s="85">
        <f t="shared" si="10"/>
        <v>1.5324494068387997</v>
      </c>
      <c r="N37" s="73">
        <f t="shared" si="11"/>
        <v>1.5314055396156516</v>
      </c>
      <c r="O37" s="86">
        <f t="shared" si="12"/>
        <v>127.7</v>
      </c>
      <c r="P37" s="87">
        <f t="shared" si="13"/>
        <v>127.7</v>
      </c>
      <c r="Q37" s="88">
        <f>ROUND(TREND(G37:I37,{1,2,3},4)*(1+E37*F37),1)</f>
        <v>128</v>
      </c>
      <c r="R37" s="88">
        <f>ROUND(FORECAST(4,G37:I37,{1,2,3})*(1+E37*F37),1)</f>
        <v>128</v>
      </c>
      <c r="S37" s="77">
        <f>Initiale!H29</f>
        <v>128.30000000000001</v>
      </c>
      <c r="T37" s="89">
        <f t="shared" si="14"/>
        <v>-0.6</v>
      </c>
      <c r="U37" s="90" t="s">
        <v>125</v>
      </c>
    </row>
    <row r="38" spans="1:21" ht="18" customHeight="1" x14ac:dyDescent="0.3">
      <c r="A38" s="11" t="s">
        <v>27</v>
      </c>
      <c r="B38" s="12">
        <f>Initiale!E30</f>
        <v>220</v>
      </c>
      <c r="C38" s="12">
        <f>Initiale!F30</f>
        <v>231</v>
      </c>
      <c r="D38" s="12">
        <f>Initiale!G30</f>
        <v>243</v>
      </c>
      <c r="E38" s="99">
        <f>Initiale!C30</f>
        <v>1</v>
      </c>
      <c r="F38" s="100">
        <f>Initiale!D30</f>
        <v>0.2</v>
      </c>
      <c r="G38" s="70">
        <f>IF(ABS(B38-TREND(B38:D38,{1,2,3},1))/TREND(B38:D38,{1,2,3},1)&gt;$B$6,TREND(B38:D38,{1,2,3},1),B38)</f>
        <v>220</v>
      </c>
      <c r="H38" s="70">
        <f>IF(ABS(C38-TREND(B38:D38,{1,2,3},2))/TREND(B38:D38,{1,2,3},2)&gt;$B$6,TREND(B38:D38,{1,2,3},2),C38)</f>
        <v>231</v>
      </c>
      <c r="I38" s="70">
        <f>IF(ABS(D38-TREND(B38:D38,{1,2,3},3))/TREND(B38:D38,{1,2,3},3)&gt;$B$6,TREND(B38:D38,{1,2,3},3),D38)</f>
        <v>243</v>
      </c>
      <c r="J38" s="71" t="str">
        <f>IF(ABS(B38-TREND(B38:D38,{1,2,3},1))/TREND(B38:D38,{1,2,3},1)&gt;$B$6,"⚠Y-3 ","")&amp;IF(ABS(C38-TREND(B38:D38,{1,2,3},2))/TREND(B38:D38,{1,2,3},2)&gt;$B$6,"⚠Y-2 ","")&amp;IF(ABS(D38-TREND(B38:D38,{1,2,3},3))/TREND(B38:D38,{1,2,3},3)&gt;$B$6,"⚠Y-1","")</f>
        <v/>
      </c>
      <c r="K38" s="72">
        <f t="shared" si="8"/>
        <v>3.0543771693019672</v>
      </c>
      <c r="L38" s="72">
        <f t="shared" si="9"/>
        <v>3.0517431192660549</v>
      </c>
      <c r="M38" s="72">
        <f t="shared" si="10"/>
        <v>3.0523377529658058</v>
      </c>
      <c r="N38" s="73">
        <f t="shared" si="11"/>
        <v>3.0525672461231128</v>
      </c>
      <c r="O38" s="74">
        <f t="shared" si="12"/>
        <v>254.5</v>
      </c>
      <c r="P38" s="75">
        <f t="shared" si="13"/>
        <v>305.39999999999998</v>
      </c>
      <c r="Q38" s="76">
        <f>ROUND(TREND(G38:I38,{1,2,3},4)*(1+E38*F38),1)</f>
        <v>305.2</v>
      </c>
      <c r="R38" s="76">
        <f>ROUND(FORECAST(4,G38:I38,{1,2,3})*(1+E38*F38),1)</f>
        <v>305.2</v>
      </c>
      <c r="S38" s="77">
        <f>Initiale!H30</f>
        <v>306.3</v>
      </c>
      <c r="T38" s="78">
        <f t="shared" si="14"/>
        <v>-0.9</v>
      </c>
      <c r="U38" s="101" t="s">
        <v>126</v>
      </c>
    </row>
    <row r="39" spans="1:21" ht="18" customHeight="1" x14ac:dyDescent="0.3">
      <c r="A39" s="80" t="s">
        <v>28</v>
      </c>
      <c r="B39" s="81">
        <f>Initiale!E31</f>
        <v>280</v>
      </c>
      <c r="C39" s="81">
        <f>Initiale!F31</f>
        <v>294</v>
      </c>
      <c r="D39" s="81">
        <f>Initiale!G31</f>
        <v>309</v>
      </c>
      <c r="E39" s="82">
        <f>Initiale!C31</f>
        <v>0</v>
      </c>
      <c r="F39" s="83">
        <f>Initiale!D31</f>
        <v>0</v>
      </c>
      <c r="G39" s="84">
        <f>IF(ABS(B39-TREND(B39:D39,{1,2,3},1))/TREND(B39:D39,{1,2,3},1)&gt;$B$6,TREND(B39:D39,{1,2,3},1),B39)</f>
        <v>280</v>
      </c>
      <c r="H39" s="84">
        <f>IF(ABS(C39-TREND(B39:D39,{1,2,3},2))/TREND(B39:D39,{1,2,3},2)&gt;$B$6,TREND(B39:D39,{1,2,3},2),C39)</f>
        <v>294</v>
      </c>
      <c r="I39" s="84">
        <f>IF(ABS(D39-TREND(B39:D39,{1,2,3},3))/TREND(B39:D39,{1,2,3},3)&gt;$B$6,TREND(B39:D39,{1,2,3},3),D39)</f>
        <v>309</v>
      </c>
      <c r="J39" s="71" t="str">
        <f>IF(ABS(B39-TREND(B39:D39,{1,2,3},1))/TREND(B39:D39,{1,2,3},1)&gt;$B$6,"⚠Y-3 ","")&amp;IF(ABS(C39-TREND(B39:D39,{1,2,3},2))/TREND(B39:D39,{1,2,3},2)&gt;$B$6,"⚠Y-2 ","")&amp;IF(ABS(D39-TREND(B39:D39,{1,2,3},3))/TREND(B39:D39,{1,2,3},3)&gt;$B$6,"⚠Y-1","")</f>
        <v/>
      </c>
      <c r="K39" s="85">
        <f t="shared" si="8"/>
        <v>3.8873891245661398</v>
      </c>
      <c r="L39" s="85">
        <f t="shared" si="9"/>
        <v>3.8840366972477063</v>
      </c>
      <c r="M39" s="85">
        <f t="shared" si="10"/>
        <v>3.8813677599441729</v>
      </c>
      <c r="N39" s="73">
        <f t="shared" si="11"/>
        <v>3.8833727140596261</v>
      </c>
      <c r="O39" s="86">
        <f t="shared" si="12"/>
        <v>323.7</v>
      </c>
      <c r="P39" s="87">
        <f t="shared" si="13"/>
        <v>323.7</v>
      </c>
      <c r="Q39" s="88">
        <f>ROUND(TREND(G39:I39,{1,2,3},4)*(1+E39*F39),1)</f>
        <v>323.3</v>
      </c>
      <c r="R39" s="88">
        <f>ROUND(FORECAST(4,G39:I39,{1,2,3})*(1+E39*F39),1)</f>
        <v>323.3</v>
      </c>
      <c r="S39" s="77">
        <f>Initiale!H31</f>
        <v>324.5</v>
      </c>
      <c r="T39" s="89">
        <f t="shared" si="14"/>
        <v>-0.8</v>
      </c>
      <c r="U39" s="90" t="s">
        <v>127</v>
      </c>
    </row>
    <row r="40" spans="1:21" ht="19.5" customHeight="1" x14ac:dyDescent="0.3">
      <c r="A40" s="8" t="s">
        <v>29</v>
      </c>
      <c r="B40" s="9">
        <f>SUM(B28:B39)</f>
        <v>858</v>
      </c>
      <c r="C40" s="9">
        <f>SUM(C28:C39)</f>
        <v>921</v>
      </c>
      <c r="D40" s="9">
        <f>SUM(D28:D39)</f>
        <v>949</v>
      </c>
      <c r="E40" s="91"/>
      <c r="F40" s="91"/>
      <c r="G40" s="92">
        <f>SUM(G28:G39)</f>
        <v>864.33333333333326</v>
      </c>
      <c r="H40" s="92">
        <f>SUM(H28:H39)</f>
        <v>908.33333333333337</v>
      </c>
      <c r="I40" s="92">
        <f>SUM(I28:I39)</f>
        <v>955.33333333333337</v>
      </c>
      <c r="J40" s="91"/>
      <c r="K40" s="93">
        <f t="shared" ref="K40:S40" si="15">SUM(K28:K39)</f>
        <v>12</v>
      </c>
      <c r="L40" s="93">
        <f t="shared" si="15"/>
        <v>12</v>
      </c>
      <c r="M40" s="93">
        <f t="shared" si="15"/>
        <v>12</v>
      </c>
      <c r="N40" s="93">
        <f t="shared" si="15"/>
        <v>12</v>
      </c>
      <c r="O40" s="92">
        <f t="shared" si="15"/>
        <v>1000.4000000000001</v>
      </c>
      <c r="P40" s="92">
        <f t="shared" si="15"/>
        <v>1053.0999999999999</v>
      </c>
      <c r="Q40" s="92">
        <f t="shared" si="15"/>
        <v>1052.9000000000001</v>
      </c>
      <c r="R40" s="92">
        <f t="shared" si="15"/>
        <v>1052.9000000000001</v>
      </c>
      <c r="S40" s="92">
        <f t="shared" si="15"/>
        <v>1053.2</v>
      </c>
      <c r="T40" s="94">
        <f>P40-S40</f>
        <v>-0.10000000000013642</v>
      </c>
      <c r="U40" s="95" t="s">
        <v>118</v>
      </c>
    </row>
    <row r="41" spans="1:21" ht="24" customHeight="1" x14ac:dyDescent="0.3">
      <c r="A41" s="393" t="s">
        <v>128</v>
      </c>
      <c r="B41" s="392"/>
      <c r="C41" s="392"/>
      <c r="D41" s="392"/>
      <c r="E41" s="392"/>
      <c r="F41" s="392"/>
      <c r="G41" s="392"/>
      <c r="H41" s="392"/>
      <c r="I41" s="392"/>
      <c r="J41" s="392"/>
      <c r="K41" s="392"/>
      <c r="L41" s="392"/>
      <c r="M41" s="392"/>
      <c r="N41" s="392"/>
      <c r="O41" s="96">
        <f>TREND(G40:I40,{1,2,3},4)</f>
        <v>1000.3333333333335</v>
      </c>
      <c r="P41" s="97"/>
      <c r="Q41" s="97"/>
      <c r="R41" s="97"/>
      <c r="S41" s="97"/>
      <c r="T41" s="97"/>
      <c r="U41" s="97"/>
    </row>
    <row r="42" spans="1:21" ht="24" customHeight="1" x14ac:dyDescent="0.3">
      <c r="A42" s="395" t="s">
        <v>129</v>
      </c>
      <c r="B42" s="392"/>
      <c r="C42" s="392"/>
      <c r="D42" s="392"/>
      <c r="E42" s="392"/>
      <c r="F42" s="392"/>
      <c r="G42" s="392"/>
      <c r="H42" s="392"/>
      <c r="I42" s="392"/>
      <c r="J42" s="392"/>
      <c r="K42" s="392"/>
      <c r="L42" s="392"/>
      <c r="M42" s="392"/>
      <c r="N42" s="392"/>
      <c r="O42" s="98">
        <f>FORECAST(4,G40:I40,{1,2,3})</f>
        <v>1000.3333333333335</v>
      </c>
      <c r="P42" s="11"/>
      <c r="Q42" s="11"/>
      <c r="R42" s="11"/>
      <c r="S42" s="11"/>
      <c r="T42" s="11"/>
      <c r="U42" s="11"/>
    </row>
    <row r="43" spans="1:21" ht="6" customHeight="1" x14ac:dyDescent="0.3"/>
    <row r="44" spans="1:21" ht="24" customHeight="1" x14ac:dyDescent="0.3">
      <c r="A44" s="385" t="s">
        <v>130</v>
      </c>
      <c r="B44" s="378"/>
      <c r="C44" s="378"/>
      <c r="D44" s="378"/>
      <c r="E44" s="378"/>
      <c r="F44" s="378"/>
      <c r="G44" s="378"/>
      <c r="H44" s="378"/>
      <c r="I44" s="378"/>
      <c r="J44" s="378"/>
      <c r="K44" s="378"/>
      <c r="L44" s="378"/>
      <c r="M44" s="378"/>
      <c r="N44" s="378"/>
      <c r="O44" s="378"/>
      <c r="P44" s="378"/>
      <c r="Q44" s="378"/>
      <c r="R44" s="378"/>
      <c r="S44" s="378"/>
      <c r="T44" s="378"/>
      <c r="U44" s="378"/>
    </row>
    <row r="45" spans="1:21" ht="84.75" customHeight="1" x14ac:dyDescent="0.3">
      <c r="A45" s="102" t="s">
        <v>131</v>
      </c>
      <c r="B45" s="394" t="s">
        <v>132</v>
      </c>
      <c r="C45" s="392"/>
      <c r="D45" s="392"/>
      <c r="E45" s="392"/>
      <c r="F45" s="392"/>
      <c r="G45" s="392"/>
      <c r="H45" s="392"/>
      <c r="I45" s="392"/>
      <c r="J45" s="392"/>
      <c r="K45" s="392"/>
      <c r="L45" s="392"/>
      <c r="M45" s="392"/>
      <c r="N45" s="392"/>
      <c r="O45" s="392"/>
      <c r="P45" s="392"/>
      <c r="Q45" s="392"/>
      <c r="R45" s="392"/>
      <c r="S45" s="392"/>
      <c r="T45" s="392"/>
      <c r="U45" s="392"/>
    </row>
    <row r="46" spans="1:21" ht="84.75" customHeight="1" x14ac:dyDescent="0.3">
      <c r="A46" s="102" t="s">
        <v>133</v>
      </c>
      <c r="B46" s="391" t="s">
        <v>134</v>
      </c>
      <c r="C46" s="392"/>
      <c r="D46" s="392"/>
      <c r="E46" s="392"/>
      <c r="F46" s="392"/>
      <c r="G46" s="392"/>
      <c r="H46" s="392"/>
      <c r="I46" s="392"/>
      <c r="J46" s="392"/>
      <c r="K46" s="392"/>
      <c r="L46" s="392"/>
      <c r="M46" s="392"/>
      <c r="N46" s="392"/>
      <c r="O46" s="392"/>
      <c r="P46" s="392"/>
      <c r="Q46" s="392"/>
      <c r="R46" s="392"/>
      <c r="S46" s="392"/>
      <c r="T46" s="392"/>
      <c r="U46" s="392"/>
    </row>
    <row r="47" spans="1:21" ht="84.75" customHeight="1" x14ac:dyDescent="0.3">
      <c r="A47" s="102" t="s">
        <v>135</v>
      </c>
      <c r="B47" s="394" t="s">
        <v>136</v>
      </c>
      <c r="C47" s="392"/>
      <c r="D47" s="392"/>
      <c r="E47" s="392"/>
      <c r="F47" s="392"/>
      <c r="G47" s="392"/>
      <c r="H47" s="392"/>
      <c r="I47" s="392"/>
      <c r="J47" s="392"/>
      <c r="K47" s="392"/>
      <c r="L47" s="392"/>
      <c r="M47" s="392"/>
      <c r="N47" s="392"/>
      <c r="O47" s="392"/>
      <c r="P47" s="392"/>
      <c r="Q47" s="392"/>
      <c r="R47" s="392"/>
      <c r="S47" s="392"/>
      <c r="T47" s="392"/>
      <c r="U47" s="392"/>
    </row>
    <row r="48" spans="1:21" ht="84.75" customHeight="1" x14ac:dyDescent="0.3">
      <c r="A48" s="102" t="s">
        <v>137</v>
      </c>
      <c r="B48" s="391" t="s">
        <v>138</v>
      </c>
      <c r="C48" s="392"/>
      <c r="D48" s="392"/>
      <c r="E48" s="392"/>
      <c r="F48" s="392"/>
      <c r="G48" s="392"/>
      <c r="H48" s="392"/>
      <c r="I48" s="392"/>
      <c r="J48" s="392"/>
      <c r="K48" s="392"/>
      <c r="L48" s="392"/>
      <c r="M48" s="392"/>
      <c r="N48" s="392"/>
      <c r="O48" s="392"/>
      <c r="P48" s="392"/>
      <c r="Q48" s="392"/>
      <c r="R48" s="392"/>
      <c r="S48" s="392"/>
      <c r="T48" s="392"/>
      <c r="U48" s="392"/>
    </row>
    <row r="51" spans="1:21" ht="4.95" customHeight="1" x14ac:dyDescent="0.3">
      <c r="A51" s="48"/>
      <c r="B51" s="48"/>
      <c r="C51" s="48"/>
      <c r="D51" s="48"/>
      <c r="E51" s="48"/>
      <c r="F51" s="48"/>
      <c r="G51" s="48"/>
      <c r="H51" s="48"/>
      <c r="I51" s="48"/>
      <c r="J51" s="48"/>
      <c r="K51" s="48"/>
      <c r="L51" s="48"/>
      <c r="M51" s="48"/>
      <c r="N51" s="48"/>
      <c r="O51" s="48"/>
      <c r="P51" s="48"/>
      <c r="Q51" s="48"/>
      <c r="R51" s="48"/>
      <c r="S51" s="48"/>
      <c r="T51" s="48"/>
      <c r="U51" s="48"/>
    </row>
    <row r="52" spans="1:21" ht="16.05" customHeight="1" x14ac:dyDescent="0.3">
      <c r="A52" s="49" t="s">
        <v>82</v>
      </c>
      <c r="B52" s="50">
        <f>SUMPRODUCT(ABS(H10:H21*(H10:H21/G10:G21)-I10:I21)/I10:I21)/12</f>
        <v>1.5618207976698257E-2</v>
      </c>
      <c r="C52" s="381" t="s">
        <v>139</v>
      </c>
      <c r="D52" s="373"/>
      <c r="E52" s="373"/>
      <c r="F52" s="373"/>
      <c r="G52" s="373"/>
      <c r="H52" s="373"/>
      <c r="I52" s="373"/>
      <c r="J52" s="373"/>
      <c r="K52" s="373"/>
      <c r="L52" s="373"/>
      <c r="M52" s="373"/>
      <c r="N52" s="373"/>
      <c r="O52" s="373"/>
      <c r="P52" s="373"/>
      <c r="Q52" s="373"/>
      <c r="R52" s="373"/>
      <c r="S52" s="373"/>
      <c r="T52" s="374"/>
    </row>
    <row r="54" spans="1:21" ht="4.95" customHeight="1" x14ac:dyDescent="0.3">
      <c r="A54" s="48"/>
      <c r="B54" s="48"/>
      <c r="C54" s="48"/>
      <c r="D54" s="48"/>
      <c r="E54" s="48"/>
      <c r="F54" s="48"/>
      <c r="G54" s="48"/>
      <c r="H54" s="48"/>
      <c r="I54" s="48"/>
      <c r="J54" s="48"/>
      <c r="K54" s="48"/>
      <c r="L54" s="48"/>
      <c r="M54" s="48"/>
      <c r="N54" s="48"/>
      <c r="O54" s="48"/>
      <c r="P54" s="48"/>
      <c r="Q54" s="48"/>
      <c r="R54" s="48"/>
      <c r="S54" s="48"/>
      <c r="T54" s="48"/>
      <c r="U54" s="48"/>
    </row>
    <row r="55" spans="1:21" ht="16.05" customHeight="1" x14ac:dyDescent="0.3">
      <c r="A55" s="49" t="s">
        <v>84</v>
      </c>
      <c r="B55" s="50">
        <f>SUMPRODUCT(ABS(H28:H39*(H28:H39/G28:G39)-I28:I39)/I28:I39)/12</f>
        <v>3.7546570169164771E-3</v>
      </c>
      <c r="C55" s="381" t="s">
        <v>139</v>
      </c>
      <c r="D55" s="373"/>
      <c r="E55" s="373"/>
      <c r="F55" s="373"/>
      <c r="G55" s="373"/>
      <c r="H55" s="373"/>
      <c r="I55" s="373"/>
      <c r="J55" s="373"/>
      <c r="K55" s="373"/>
      <c r="L55" s="373"/>
      <c r="M55" s="373"/>
      <c r="N55" s="373"/>
      <c r="O55" s="373"/>
      <c r="P55" s="373"/>
      <c r="Q55" s="373"/>
      <c r="R55" s="373"/>
      <c r="S55" s="373"/>
      <c r="T55" s="374"/>
    </row>
  </sheetData>
  <mergeCells count="17">
    <mergeCell ref="A1:U1"/>
    <mergeCell ref="A4:U4"/>
    <mergeCell ref="A26:U26"/>
    <mergeCell ref="C6:U6"/>
    <mergeCell ref="A24:N24"/>
    <mergeCell ref="A23:N23"/>
    <mergeCell ref="A8:U8"/>
    <mergeCell ref="A3:U3"/>
    <mergeCell ref="B48:U48"/>
    <mergeCell ref="C55:T55"/>
    <mergeCell ref="A41:N41"/>
    <mergeCell ref="B47:U47"/>
    <mergeCell ref="C52:T52"/>
    <mergeCell ref="A44:U44"/>
    <mergeCell ref="A42:N42"/>
    <mergeCell ref="B46:U46"/>
    <mergeCell ref="B45:U45"/>
  </mergeCells>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workbookViewId="0"/>
  </sheetViews>
  <sheetFormatPr defaultRowHeight="14.4" x14ac:dyDescent="0.3"/>
  <cols>
    <col min="1" max="1" width="9" customWidth="1"/>
    <col min="2" max="6" width="10" customWidth="1"/>
    <col min="7" max="8" width="9" customWidth="1"/>
  </cols>
  <sheetData>
    <row r="1" spans="1:8" ht="31.95" customHeight="1" x14ac:dyDescent="0.3">
      <c r="A1" s="403" t="s">
        <v>140</v>
      </c>
      <c r="B1" s="373"/>
      <c r="C1" s="373"/>
      <c r="D1" s="373"/>
      <c r="E1" s="373"/>
      <c r="F1" s="373"/>
      <c r="G1" s="373"/>
      <c r="H1" s="374"/>
    </row>
    <row r="2" spans="1:8" ht="25.95" customHeight="1" x14ac:dyDescent="0.3">
      <c r="A2" s="400" t="s">
        <v>141</v>
      </c>
      <c r="B2" s="373"/>
      <c r="C2" s="373"/>
      <c r="D2" s="373"/>
      <c r="E2" s="373"/>
      <c r="F2" s="373"/>
      <c r="G2" s="373"/>
      <c r="H2" s="374"/>
    </row>
    <row r="3" spans="1:8" ht="4.95" customHeight="1" x14ac:dyDescent="0.3">
      <c r="A3" s="48"/>
      <c r="B3" s="48"/>
      <c r="C3" s="48"/>
      <c r="D3" s="48"/>
      <c r="E3" s="48"/>
      <c r="F3" s="48"/>
      <c r="G3" s="48"/>
      <c r="H3" s="48"/>
    </row>
    <row r="4" spans="1:8" ht="18" customHeight="1" x14ac:dyDescent="0.3">
      <c r="A4" s="399" t="s">
        <v>142</v>
      </c>
      <c r="B4" s="373"/>
      <c r="C4" s="373"/>
      <c r="D4" s="373"/>
      <c r="E4" s="373"/>
      <c r="F4" s="373"/>
      <c r="G4" s="373"/>
      <c r="H4" s="374"/>
    </row>
    <row r="5" spans="1:8" ht="16.05" customHeight="1" x14ac:dyDescent="0.3">
      <c r="A5" s="103" t="s">
        <v>2</v>
      </c>
      <c r="B5" s="104" t="s">
        <v>143</v>
      </c>
      <c r="C5" s="104" t="s">
        <v>144</v>
      </c>
      <c r="D5" s="104" t="s">
        <v>3</v>
      </c>
      <c r="E5" s="104" t="s">
        <v>4</v>
      </c>
      <c r="F5" s="104" t="s">
        <v>5</v>
      </c>
      <c r="G5" s="105" t="s">
        <v>145</v>
      </c>
      <c r="H5" s="105" t="s">
        <v>146</v>
      </c>
    </row>
    <row r="6" spans="1:8" ht="16.05" customHeight="1" x14ac:dyDescent="0.3">
      <c r="A6" s="106" t="s">
        <v>147</v>
      </c>
      <c r="B6" s="107">
        <v>77</v>
      </c>
      <c r="C6" s="107">
        <v>79</v>
      </c>
      <c r="D6" s="107">
        <v>81</v>
      </c>
      <c r="E6" s="107">
        <v>83</v>
      </c>
      <c r="F6" s="107">
        <v>85</v>
      </c>
      <c r="G6" s="108">
        <v>0</v>
      </c>
      <c r="H6" s="109">
        <v>0</v>
      </c>
    </row>
    <row r="7" spans="1:8" ht="16.05" customHeight="1" x14ac:dyDescent="0.3">
      <c r="A7" s="110" t="s">
        <v>148</v>
      </c>
      <c r="B7" s="107">
        <v>79</v>
      </c>
      <c r="C7" s="107">
        <v>81</v>
      </c>
      <c r="D7" s="107">
        <v>83</v>
      </c>
      <c r="E7" s="107">
        <v>85</v>
      </c>
      <c r="F7" s="107">
        <v>87</v>
      </c>
      <c r="G7" s="108">
        <v>1</v>
      </c>
      <c r="H7" s="109">
        <v>0.1</v>
      </c>
    </row>
    <row r="8" spans="1:8" ht="16.05" customHeight="1" x14ac:dyDescent="0.3">
      <c r="A8" s="106" t="s">
        <v>149</v>
      </c>
      <c r="B8" s="107">
        <v>82</v>
      </c>
      <c r="C8" s="107">
        <v>84</v>
      </c>
      <c r="D8" s="107">
        <v>86</v>
      </c>
      <c r="E8" s="107">
        <v>88</v>
      </c>
      <c r="F8" s="107">
        <v>90</v>
      </c>
      <c r="G8" s="108">
        <v>1</v>
      </c>
      <c r="H8" s="109">
        <v>0.1</v>
      </c>
    </row>
    <row r="9" spans="1:8" ht="16.05" customHeight="1" x14ac:dyDescent="0.3">
      <c r="A9" s="110" t="s">
        <v>150</v>
      </c>
      <c r="B9" s="107">
        <v>80</v>
      </c>
      <c r="C9" s="107">
        <v>82</v>
      </c>
      <c r="D9" s="107">
        <v>84</v>
      </c>
      <c r="E9" s="107">
        <v>86</v>
      </c>
      <c r="F9" s="107">
        <v>88</v>
      </c>
      <c r="G9" s="108">
        <v>0</v>
      </c>
      <c r="H9" s="109">
        <v>0</v>
      </c>
    </row>
    <row r="10" spans="1:8" ht="16.05" customHeight="1" x14ac:dyDescent="0.3">
      <c r="A10" s="106" t="s">
        <v>151</v>
      </c>
      <c r="B10" s="107">
        <v>78</v>
      </c>
      <c r="C10" s="107">
        <v>80</v>
      </c>
      <c r="D10" s="107">
        <v>82</v>
      </c>
      <c r="E10" s="107">
        <v>84</v>
      </c>
      <c r="F10" s="107">
        <v>86</v>
      </c>
      <c r="G10" s="108">
        <v>0</v>
      </c>
      <c r="H10" s="109">
        <v>0</v>
      </c>
    </row>
    <row r="11" spans="1:8" ht="16.05" customHeight="1" x14ac:dyDescent="0.3">
      <c r="A11" s="110" t="s">
        <v>152</v>
      </c>
      <c r="B11" s="107">
        <v>75</v>
      </c>
      <c r="C11" s="107">
        <v>77</v>
      </c>
      <c r="D11" s="107">
        <v>79</v>
      </c>
      <c r="E11" s="107">
        <v>81</v>
      </c>
      <c r="F11" s="107">
        <v>83</v>
      </c>
      <c r="G11" s="108">
        <v>0</v>
      </c>
      <c r="H11" s="109">
        <v>0</v>
      </c>
    </row>
    <row r="12" spans="1:8" ht="16.05" customHeight="1" x14ac:dyDescent="0.3">
      <c r="A12" s="106" t="s">
        <v>153</v>
      </c>
      <c r="B12" s="107">
        <v>76</v>
      </c>
      <c r="C12" s="107">
        <v>78</v>
      </c>
      <c r="D12" s="107">
        <v>80</v>
      </c>
      <c r="E12" s="107">
        <v>82</v>
      </c>
      <c r="F12" s="107">
        <v>84</v>
      </c>
      <c r="G12" s="108">
        <v>0</v>
      </c>
      <c r="H12" s="109">
        <v>0</v>
      </c>
    </row>
    <row r="13" spans="1:8" ht="16.05" customHeight="1" x14ac:dyDescent="0.3">
      <c r="A13" s="110" t="s">
        <v>154</v>
      </c>
      <c r="B13" s="107">
        <v>83</v>
      </c>
      <c r="C13" s="107">
        <v>85</v>
      </c>
      <c r="D13" s="107">
        <v>87</v>
      </c>
      <c r="E13" s="107">
        <v>89</v>
      </c>
      <c r="F13" s="107">
        <v>91</v>
      </c>
      <c r="G13" s="108">
        <v>0</v>
      </c>
      <c r="H13" s="109">
        <v>0</v>
      </c>
    </row>
    <row r="14" spans="1:8" ht="16.05" customHeight="1" x14ac:dyDescent="0.3">
      <c r="A14" s="106" t="s">
        <v>155</v>
      </c>
      <c r="B14" s="107">
        <v>91</v>
      </c>
      <c r="C14" s="107">
        <v>93</v>
      </c>
      <c r="D14" s="107">
        <v>95</v>
      </c>
      <c r="E14" s="107">
        <v>97</v>
      </c>
      <c r="F14" s="107">
        <v>99</v>
      </c>
      <c r="G14" s="108">
        <v>0</v>
      </c>
      <c r="H14" s="109">
        <v>0</v>
      </c>
    </row>
    <row r="15" spans="1:8" ht="16.05" customHeight="1" x14ac:dyDescent="0.3">
      <c r="A15" s="110" t="s">
        <v>156</v>
      </c>
      <c r="B15" s="107">
        <v>116</v>
      </c>
      <c r="C15" s="107">
        <v>118</v>
      </c>
      <c r="D15" s="107">
        <v>120</v>
      </c>
      <c r="E15" s="107">
        <v>155</v>
      </c>
      <c r="F15" s="107">
        <v>126</v>
      </c>
      <c r="G15" s="108">
        <v>0</v>
      </c>
      <c r="H15" s="109">
        <v>0</v>
      </c>
    </row>
    <row r="16" spans="1:8" ht="16.05" customHeight="1" x14ac:dyDescent="0.3">
      <c r="A16" s="106" t="s">
        <v>157</v>
      </c>
      <c r="B16" s="107">
        <v>96</v>
      </c>
      <c r="C16" s="107">
        <v>98</v>
      </c>
      <c r="D16" s="107">
        <v>100</v>
      </c>
      <c r="E16" s="107">
        <v>102</v>
      </c>
      <c r="F16" s="107">
        <v>104</v>
      </c>
      <c r="G16" s="108">
        <v>0</v>
      </c>
      <c r="H16" s="109">
        <v>0</v>
      </c>
    </row>
    <row r="17" spans="1:8" ht="16.05" customHeight="1" x14ac:dyDescent="0.3">
      <c r="A17" s="110" t="s">
        <v>158</v>
      </c>
      <c r="B17" s="107">
        <v>86</v>
      </c>
      <c r="C17" s="107">
        <v>88</v>
      </c>
      <c r="D17" s="107">
        <v>90</v>
      </c>
      <c r="E17" s="107">
        <v>92</v>
      </c>
      <c r="F17" s="107">
        <v>94</v>
      </c>
      <c r="G17" s="108">
        <v>0</v>
      </c>
      <c r="H17" s="109">
        <v>0</v>
      </c>
    </row>
    <row r="18" spans="1:8" ht="4.95" customHeight="1" x14ac:dyDescent="0.3">
      <c r="A18" s="48"/>
      <c r="B18" s="48"/>
      <c r="C18" s="48"/>
      <c r="D18" s="48"/>
      <c r="E18" s="48"/>
      <c r="F18" s="48"/>
      <c r="G18" s="48"/>
      <c r="H18" s="48"/>
    </row>
    <row r="19" spans="1:8" ht="18" customHeight="1" x14ac:dyDescent="0.3">
      <c r="A19" s="401" t="s">
        <v>159</v>
      </c>
      <c r="B19" s="373"/>
      <c r="C19" s="373"/>
      <c r="D19" s="373"/>
      <c r="E19" s="373"/>
      <c r="F19" s="373"/>
      <c r="G19" s="373"/>
      <c r="H19" s="374"/>
    </row>
    <row r="20" spans="1:8" ht="16.05" customHeight="1" x14ac:dyDescent="0.3">
      <c r="A20" s="103" t="s">
        <v>2</v>
      </c>
      <c r="B20" s="104" t="s">
        <v>143</v>
      </c>
      <c r="C20" s="104" t="s">
        <v>144</v>
      </c>
      <c r="D20" s="104" t="s">
        <v>3</v>
      </c>
      <c r="E20" s="104" t="s">
        <v>4</v>
      </c>
      <c r="F20" s="104" t="s">
        <v>5</v>
      </c>
      <c r="G20" s="105" t="s">
        <v>145</v>
      </c>
      <c r="H20" s="105" t="s">
        <v>146</v>
      </c>
    </row>
    <row r="21" spans="1:8" ht="16.05" customHeight="1" x14ac:dyDescent="0.3">
      <c r="A21" s="106" t="s">
        <v>147</v>
      </c>
      <c r="B21" s="107">
        <v>49</v>
      </c>
      <c r="C21" s="107">
        <v>52</v>
      </c>
      <c r="D21" s="107">
        <v>55</v>
      </c>
      <c r="E21" s="107">
        <v>58</v>
      </c>
      <c r="F21" s="107">
        <v>61</v>
      </c>
      <c r="G21" s="108">
        <v>0</v>
      </c>
      <c r="H21" s="109">
        <v>0</v>
      </c>
    </row>
    <row r="22" spans="1:8" ht="16.05" customHeight="1" x14ac:dyDescent="0.3">
      <c r="A22" s="110" t="s">
        <v>148</v>
      </c>
      <c r="B22" s="107">
        <v>31</v>
      </c>
      <c r="C22" s="107">
        <v>33</v>
      </c>
      <c r="D22" s="107">
        <v>35</v>
      </c>
      <c r="E22" s="107">
        <v>37</v>
      </c>
      <c r="F22" s="107">
        <v>39</v>
      </c>
      <c r="G22" s="108">
        <v>0</v>
      </c>
      <c r="H22" s="109">
        <v>0</v>
      </c>
    </row>
    <row r="23" spans="1:8" ht="16.05" customHeight="1" x14ac:dyDescent="0.3">
      <c r="A23" s="106" t="s">
        <v>149</v>
      </c>
      <c r="B23" s="107">
        <v>23</v>
      </c>
      <c r="C23" s="107">
        <v>24</v>
      </c>
      <c r="D23" s="107">
        <v>25</v>
      </c>
      <c r="E23" s="107">
        <v>26</v>
      </c>
      <c r="F23" s="107">
        <v>27</v>
      </c>
      <c r="G23" s="108">
        <v>0</v>
      </c>
      <c r="H23" s="109">
        <v>0</v>
      </c>
    </row>
    <row r="24" spans="1:8" ht="16.05" customHeight="1" x14ac:dyDescent="0.3">
      <c r="A24" s="110" t="s">
        <v>150</v>
      </c>
      <c r="B24" s="107">
        <v>18</v>
      </c>
      <c r="C24" s="107">
        <v>19</v>
      </c>
      <c r="D24" s="107">
        <v>20</v>
      </c>
      <c r="E24" s="107">
        <v>40</v>
      </c>
      <c r="F24" s="107">
        <v>22</v>
      </c>
      <c r="G24" s="108">
        <v>0</v>
      </c>
      <c r="H24" s="109">
        <v>0</v>
      </c>
    </row>
    <row r="25" spans="1:8" ht="16.05" customHeight="1" x14ac:dyDescent="0.3">
      <c r="A25" s="106" t="s">
        <v>151</v>
      </c>
      <c r="B25" s="107">
        <v>16</v>
      </c>
      <c r="C25" s="107">
        <v>17</v>
      </c>
      <c r="D25" s="107">
        <v>18</v>
      </c>
      <c r="E25" s="107">
        <v>19</v>
      </c>
      <c r="F25" s="107">
        <v>20</v>
      </c>
      <c r="G25" s="108">
        <v>0</v>
      </c>
      <c r="H25" s="109">
        <v>0</v>
      </c>
    </row>
    <row r="26" spans="1:8" ht="16.05" customHeight="1" x14ac:dyDescent="0.3">
      <c r="A26" s="110" t="s">
        <v>152</v>
      </c>
      <c r="B26" s="107">
        <v>13</v>
      </c>
      <c r="C26" s="107">
        <v>14</v>
      </c>
      <c r="D26" s="107">
        <v>15</v>
      </c>
      <c r="E26" s="107">
        <v>16</v>
      </c>
      <c r="F26" s="107">
        <v>17</v>
      </c>
      <c r="G26" s="108">
        <v>1</v>
      </c>
      <c r="H26" s="109">
        <v>0.1</v>
      </c>
    </row>
    <row r="27" spans="1:8" ht="16.05" customHeight="1" x14ac:dyDescent="0.3">
      <c r="A27" s="106" t="s">
        <v>153</v>
      </c>
      <c r="B27" s="107">
        <v>13</v>
      </c>
      <c r="C27" s="107">
        <v>14</v>
      </c>
      <c r="D27" s="107">
        <v>15</v>
      </c>
      <c r="E27" s="107">
        <v>16</v>
      </c>
      <c r="F27" s="107">
        <v>17</v>
      </c>
      <c r="G27" s="108">
        <v>0</v>
      </c>
      <c r="H27" s="109">
        <v>0</v>
      </c>
    </row>
    <row r="28" spans="1:8" ht="16.05" customHeight="1" x14ac:dyDescent="0.3">
      <c r="A28" s="110" t="s">
        <v>154</v>
      </c>
      <c r="B28" s="107">
        <v>18</v>
      </c>
      <c r="C28" s="107">
        <v>19</v>
      </c>
      <c r="D28" s="107">
        <v>20</v>
      </c>
      <c r="E28" s="107">
        <v>21</v>
      </c>
      <c r="F28" s="107">
        <v>22</v>
      </c>
      <c r="G28" s="108">
        <v>0</v>
      </c>
      <c r="H28" s="109">
        <v>0</v>
      </c>
    </row>
    <row r="29" spans="1:8" ht="16.05" customHeight="1" x14ac:dyDescent="0.3">
      <c r="A29" s="106" t="s">
        <v>155</v>
      </c>
      <c r="B29" s="107">
        <v>41</v>
      </c>
      <c r="C29" s="107">
        <v>43</v>
      </c>
      <c r="D29" s="107">
        <v>45</v>
      </c>
      <c r="E29" s="107">
        <v>47</v>
      </c>
      <c r="F29" s="107">
        <v>50</v>
      </c>
      <c r="G29" s="108">
        <v>0</v>
      </c>
      <c r="H29" s="109">
        <v>0</v>
      </c>
    </row>
    <row r="30" spans="1:8" ht="16.05" customHeight="1" x14ac:dyDescent="0.3">
      <c r="A30" s="110" t="s">
        <v>156</v>
      </c>
      <c r="B30" s="107">
        <v>99</v>
      </c>
      <c r="C30" s="107">
        <v>104</v>
      </c>
      <c r="D30" s="107">
        <v>110</v>
      </c>
      <c r="E30" s="107">
        <v>116</v>
      </c>
      <c r="F30" s="107">
        <v>122</v>
      </c>
      <c r="G30" s="108">
        <v>0</v>
      </c>
      <c r="H30" s="109">
        <v>0</v>
      </c>
    </row>
    <row r="31" spans="1:8" ht="16.05" customHeight="1" x14ac:dyDescent="0.3">
      <c r="A31" s="106" t="s">
        <v>157</v>
      </c>
      <c r="B31" s="107">
        <v>198</v>
      </c>
      <c r="C31" s="107">
        <v>209</v>
      </c>
      <c r="D31" s="107">
        <v>220</v>
      </c>
      <c r="E31" s="107">
        <v>231</v>
      </c>
      <c r="F31" s="107">
        <v>243</v>
      </c>
      <c r="G31" s="108">
        <v>1</v>
      </c>
      <c r="H31" s="109">
        <v>0.2</v>
      </c>
    </row>
    <row r="32" spans="1:8" ht="16.05" customHeight="1" x14ac:dyDescent="0.3">
      <c r="A32" s="110" t="s">
        <v>158</v>
      </c>
      <c r="B32" s="107">
        <v>252</v>
      </c>
      <c r="C32" s="107">
        <v>266</v>
      </c>
      <c r="D32" s="107">
        <v>280</v>
      </c>
      <c r="E32" s="107">
        <v>294</v>
      </c>
      <c r="F32" s="107">
        <v>309</v>
      </c>
      <c r="G32" s="108">
        <v>0</v>
      </c>
      <c r="H32" s="109">
        <v>0</v>
      </c>
    </row>
    <row r="33" spans="1:8" ht="4.95" customHeight="1" x14ac:dyDescent="0.3">
      <c r="A33" s="48"/>
      <c r="B33" s="48"/>
      <c r="C33" s="48"/>
      <c r="D33" s="48"/>
      <c r="E33" s="48"/>
      <c r="F33" s="48"/>
      <c r="G33" s="48"/>
      <c r="H33" s="48"/>
    </row>
    <row r="34" spans="1:8" ht="18" customHeight="1" x14ac:dyDescent="0.3">
      <c r="A34" s="404" t="s">
        <v>160</v>
      </c>
      <c r="B34" s="373"/>
      <c r="C34" s="373"/>
      <c r="D34" s="373"/>
      <c r="E34" s="373"/>
      <c r="F34" s="373"/>
      <c r="G34" s="373"/>
      <c r="H34" s="374"/>
    </row>
    <row r="35" spans="1:8" ht="16.05" customHeight="1" x14ac:dyDescent="0.3">
      <c r="A35" s="103" t="s">
        <v>2</v>
      </c>
      <c r="B35" s="104" t="s">
        <v>143</v>
      </c>
      <c r="C35" s="104" t="s">
        <v>144</v>
      </c>
      <c r="D35" s="104" t="s">
        <v>3</v>
      </c>
      <c r="E35" s="104" t="s">
        <v>4</v>
      </c>
      <c r="F35" s="104" t="s">
        <v>5</v>
      </c>
      <c r="G35" s="105" t="s">
        <v>145</v>
      </c>
      <c r="H35" s="105" t="s">
        <v>146</v>
      </c>
    </row>
    <row r="36" spans="1:8" ht="16.05" customHeight="1" x14ac:dyDescent="0.3">
      <c r="A36" s="106" t="s">
        <v>147</v>
      </c>
      <c r="B36" s="107">
        <v>97</v>
      </c>
      <c r="C36" s="107">
        <v>98</v>
      </c>
      <c r="D36" s="107">
        <v>99</v>
      </c>
      <c r="E36" s="107">
        <v>114</v>
      </c>
      <c r="F36" s="107">
        <v>131</v>
      </c>
      <c r="G36" s="108">
        <v>0</v>
      </c>
      <c r="H36" s="109">
        <v>0</v>
      </c>
    </row>
    <row r="37" spans="1:8" ht="16.05" customHeight="1" x14ac:dyDescent="0.3">
      <c r="A37" s="110" t="s">
        <v>148</v>
      </c>
      <c r="B37" s="107">
        <v>99</v>
      </c>
      <c r="C37" s="107">
        <v>100</v>
      </c>
      <c r="D37" s="107">
        <v>101</v>
      </c>
      <c r="E37" s="107">
        <v>116</v>
      </c>
      <c r="F37" s="107">
        <v>133</v>
      </c>
      <c r="G37" s="108">
        <v>0</v>
      </c>
      <c r="H37" s="109">
        <v>0</v>
      </c>
    </row>
    <row r="38" spans="1:8" ht="16.05" customHeight="1" x14ac:dyDescent="0.3">
      <c r="A38" s="106" t="s">
        <v>149</v>
      </c>
      <c r="B38" s="107">
        <v>101</v>
      </c>
      <c r="C38" s="107">
        <v>102</v>
      </c>
      <c r="D38" s="107">
        <v>103</v>
      </c>
      <c r="E38" s="107">
        <v>118</v>
      </c>
      <c r="F38" s="107">
        <v>136</v>
      </c>
      <c r="G38" s="108">
        <v>0</v>
      </c>
      <c r="H38" s="109">
        <v>0</v>
      </c>
    </row>
    <row r="39" spans="1:8" ht="16.05" customHeight="1" x14ac:dyDescent="0.3">
      <c r="A39" s="110" t="s">
        <v>150</v>
      </c>
      <c r="B39" s="107">
        <v>103</v>
      </c>
      <c r="C39" s="107">
        <v>104</v>
      </c>
      <c r="D39" s="107">
        <v>105</v>
      </c>
      <c r="E39" s="107">
        <v>121</v>
      </c>
      <c r="F39" s="107">
        <v>139</v>
      </c>
      <c r="G39" s="108">
        <v>0</v>
      </c>
      <c r="H39" s="109">
        <v>0</v>
      </c>
    </row>
    <row r="40" spans="1:8" ht="16.05" customHeight="1" x14ac:dyDescent="0.3">
      <c r="A40" s="106" t="s">
        <v>151</v>
      </c>
      <c r="B40" s="107">
        <v>100</v>
      </c>
      <c r="C40" s="107">
        <v>101</v>
      </c>
      <c r="D40" s="107">
        <v>102</v>
      </c>
      <c r="E40" s="107">
        <v>117</v>
      </c>
      <c r="F40" s="107">
        <v>135</v>
      </c>
      <c r="G40" s="108">
        <v>0</v>
      </c>
      <c r="H40" s="109">
        <v>0</v>
      </c>
    </row>
    <row r="41" spans="1:8" ht="16.05" customHeight="1" x14ac:dyDescent="0.3">
      <c r="A41" s="110" t="s">
        <v>152</v>
      </c>
      <c r="B41" s="107">
        <v>98</v>
      </c>
      <c r="C41" s="107">
        <v>99</v>
      </c>
      <c r="D41" s="107">
        <v>100</v>
      </c>
      <c r="E41" s="107">
        <v>115</v>
      </c>
      <c r="F41" s="107">
        <v>132</v>
      </c>
      <c r="G41" s="108">
        <v>0</v>
      </c>
      <c r="H41" s="109">
        <v>0</v>
      </c>
    </row>
    <row r="42" spans="1:8" ht="16.05" customHeight="1" x14ac:dyDescent="0.3">
      <c r="A42" s="106" t="s">
        <v>153</v>
      </c>
      <c r="B42" s="107">
        <v>102</v>
      </c>
      <c r="C42" s="107">
        <v>103</v>
      </c>
      <c r="D42" s="107">
        <v>104</v>
      </c>
      <c r="E42" s="107">
        <v>120</v>
      </c>
      <c r="F42" s="107">
        <v>138</v>
      </c>
      <c r="G42" s="108">
        <v>0</v>
      </c>
      <c r="H42" s="109">
        <v>0</v>
      </c>
    </row>
    <row r="43" spans="1:8" ht="16.05" customHeight="1" x14ac:dyDescent="0.3">
      <c r="A43" s="110" t="s">
        <v>154</v>
      </c>
      <c r="B43" s="107">
        <v>104</v>
      </c>
      <c r="C43" s="107">
        <v>105</v>
      </c>
      <c r="D43" s="107">
        <v>106</v>
      </c>
      <c r="E43" s="107">
        <v>122</v>
      </c>
      <c r="F43" s="107">
        <v>140</v>
      </c>
      <c r="G43" s="108">
        <v>0</v>
      </c>
      <c r="H43" s="109">
        <v>0</v>
      </c>
    </row>
    <row r="44" spans="1:8" ht="16.05" customHeight="1" x14ac:dyDescent="0.3">
      <c r="A44" s="106" t="s">
        <v>155</v>
      </c>
      <c r="B44" s="107">
        <v>99</v>
      </c>
      <c r="C44" s="107">
        <v>100</v>
      </c>
      <c r="D44" s="107">
        <v>101</v>
      </c>
      <c r="E44" s="107">
        <v>116</v>
      </c>
      <c r="F44" s="107">
        <v>133</v>
      </c>
      <c r="G44" s="108">
        <v>0</v>
      </c>
      <c r="H44" s="109">
        <v>0</v>
      </c>
    </row>
    <row r="45" spans="1:8" ht="16.05" customHeight="1" x14ac:dyDescent="0.3">
      <c r="A45" s="110" t="s">
        <v>156</v>
      </c>
      <c r="B45" s="107">
        <v>101</v>
      </c>
      <c r="C45" s="107">
        <v>102</v>
      </c>
      <c r="D45" s="107">
        <v>103</v>
      </c>
      <c r="E45" s="107">
        <v>118</v>
      </c>
      <c r="F45" s="107">
        <v>136</v>
      </c>
      <c r="G45" s="108">
        <v>0</v>
      </c>
      <c r="H45" s="109">
        <v>0</v>
      </c>
    </row>
    <row r="46" spans="1:8" ht="16.05" customHeight="1" x14ac:dyDescent="0.3">
      <c r="A46" s="106" t="s">
        <v>157</v>
      </c>
      <c r="B46" s="107">
        <v>98</v>
      </c>
      <c r="C46" s="107">
        <v>99</v>
      </c>
      <c r="D46" s="107">
        <v>100</v>
      </c>
      <c r="E46" s="107">
        <v>115</v>
      </c>
      <c r="F46" s="107">
        <v>132</v>
      </c>
      <c r="G46" s="108">
        <v>0</v>
      </c>
      <c r="H46" s="109">
        <v>0</v>
      </c>
    </row>
    <row r="47" spans="1:8" ht="16.05" customHeight="1" x14ac:dyDescent="0.3">
      <c r="A47" s="110" t="s">
        <v>158</v>
      </c>
      <c r="B47" s="107">
        <v>100</v>
      </c>
      <c r="C47" s="107">
        <v>101</v>
      </c>
      <c r="D47" s="107">
        <v>102</v>
      </c>
      <c r="E47" s="107">
        <v>117</v>
      </c>
      <c r="F47" s="107">
        <v>135</v>
      </c>
      <c r="G47" s="108">
        <v>0</v>
      </c>
      <c r="H47" s="109">
        <v>0</v>
      </c>
    </row>
    <row r="48" spans="1:8" ht="4.95" customHeight="1" x14ac:dyDescent="0.3">
      <c r="A48" s="48"/>
      <c r="B48" s="48"/>
      <c r="C48" s="48"/>
      <c r="D48" s="48"/>
      <c r="E48" s="48"/>
      <c r="F48" s="48"/>
      <c r="G48" s="48"/>
      <c r="H48" s="48"/>
    </row>
    <row r="49" spans="1:8" ht="18" customHeight="1" x14ac:dyDescent="0.3">
      <c r="A49" s="402" t="s">
        <v>161</v>
      </c>
      <c r="B49" s="373"/>
      <c r="C49" s="373"/>
      <c r="D49" s="373"/>
      <c r="E49" s="373"/>
      <c r="F49" s="373"/>
      <c r="G49" s="373"/>
      <c r="H49" s="374"/>
    </row>
    <row r="50" spans="1:8" ht="16.05" customHeight="1" x14ac:dyDescent="0.3">
      <c r="A50" s="103" t="s">
        <v>2</v>
      </c>
      <c r="B50" s="104" t="s">
        <v>143</v>
      </c>
      <c r="C50" s="104" t="s">
        <v>144</v>
      </c>
      <c r="D50" s="104" t="s">
        <v>3</v>
      </c>
      <c r="E50" s="104" t="s">
        <v>4</v>
      </c>
      <c r="F50" s="104" t="s">
        <v>5</v>
      </c>
      <c r="G50" s="105" t="s">
        <v>145</v>
      </c>
      <c r="H50" s="105" t="s">
        <v>146</v>
      </c>
    </row>
    <row r="51" spans="1:8" ht="16.05" customHeight="1" x14ac:dyDescent="0.3">
      <c r="A51" s="106" t="s">
        <v>147</v>
      </c>
      <c r="B51" s="107">
        <v>97</v>
      </c>
      <c r="C51" s="107">
        <v>102</v>
      </c>
      <c r="D51" s="107">
        <v>107</v>
      </c>
      <c r="E51" s="107">
        <v>112</v>
      </c>
      <c r="F51" s="107">
        <v>118</v>
      </c>
      <c r="G51" s="108">
        <v>0</v>
      </c>
      <c r="H51" s="109">
        <v>0</v>
      </c>
    </row>
    <row r="52" spans="1:8" ht="16.05" customHeight="1" x14ac:dyDescent="0.3">
      <c r="A52" s="110" t="s">
        <v>148</v>
      </c>
      <c r="B52" s="107">
        <v>99</v>
      </c>
      <c r="C52" s="107">
        <v>104</v>
      </c>
      <c r="D52" s="107">
        <v>109</v>
      </c>
      <c r="E52" s="107">
        <v>114</v>
      </c>
      <c r="F52" s="107">
        <v>120</v>
      </c>
      <c r="G52" s="108">
        <v>0</v>
      </c>
      <c r="H52" s="109">
        <v>0</v>
      </c>
    </row>
    <row r="53" spans="1:8" ht="16.05" customHeight="1" x14ac:dyDescent="0.3">
      <c r="A53" s="106" t="s">
        <v>149</v>
      </c>
      <c r="B53" s="107">
        <v>101</v>
      </c>
      <c r="C53" s="107">
        <v>106</v>
      </c>
      <c r="D53" s="107">
        <v>111</v>
      </c>
      <c r="E53" s="107">
        <v>117</v>
      </c>
      <c r="F53" s="107">
        <v>123</v>
      </c>
      <c r="G53" s="108">
        <v>0</v>
      </c>
      <c r="H53" s="109">
        <v>0</v>
      </c>
    </row>
    <row r="54" spans="1:8" ht="16.05" customHeight="1" x14ac:dyDescent="0.3">
      <c r="A54" s="110" t="s">
        <v>150</v>
      </c>
      <c r="B54" s="107">
        <v>103</v>
      </c>
      <c r="C54" s="107">
        <v>108</v>
      </c>
      <c r="D54" s="107">
        <v>113</v>
      </c>
      <c r="E54" s="107">
        <v>119</v>
      </c>
      <c r="F54" s="107">
        <v>125</v>
      </c>
      <c r="G54" s="108">
        <v>0</v>
      </c>
      <c r="H54" s="109">
        <v>0</v>
      </c>
    </row>
    <row r="55" spans="1:8" ht="16.05" customHeight="1" x14ac:dyDescent="0.3">
      <c r="A55" s="106" t="s">
        <v>151</v>
      </c>
      <c r="B55" s="107">
        <v>100</v>
      </c>
      <c r="C55" s="107">
        <v>105</v>
      </c>
      <c r="D55" s="107">
        <v>110</v>
      </c>
      <c r="E55" s="107">
        <v>116</v>
      </c>
      <c r="F55" s="107">
        <v>122</v>
      </c>
      <c r="G55" s="108">
        <v>0</v>
      </c>
      <c r="H55" s="109">
        <v>0</v>
      </c>
    </row>
    <row r="56" spans="1:8" ht="16.05" customHeight="1" x14ac:dyDescent="0.3">
      <c r="A56" s="110" t="s">
        <v>152</v>
      </c>
      <c r="B56" s="107">
        <v>98</v>
      </c>
      <c r="C56" s="107">
        <v>103</v>
      </c>
      <c r="D56" s="107">
        <v>108</v>
      </c>
      <c r="E56" s="107">
        <v>113</v>
      </c>
      <c r="F56" s="107">
        <v>119</v>
      </c>
      <c r="G56" s="108">
        <v>0</v>
      </c>
      <c r="H56" s="109">
        <v>0</v>
      </c>
    </row>
    <row r="57" spans="1:8" ht="16.05" customHeight="1" x14ac:dyDescent="0.3">
      <c r="A57" s="106" t="s">
        <v>153</v>
      </c>
      <c r="B57" s="107">
        <v>102</v>
      </c>
      <c r="C57" s="107">
        <v>107</v>
      </c>
      <c r="D57" s="107">
        <v>112</v>
      </c>
      <c r="E57" s="107">
        <v>118</v>
      </c>
      <c r="F57" s="107">
        <v>124</v>
      </c>
      <c r="G57" s="108">
        <v>0</v>
      </c>
      <c r="H57" s="109">
        <v>0</v>
      </c>
    </row>
    <row r="58" spans="1:8" ht="16.05" customHeight="1" x14ac:dyDescent="0.3">
      <c r="A58" s="110" t="s">
        <v>154</v>
      </c>
      <c r="B58" s="107">
        <v>104</v>
      </c>
      <c r="C58" s="107">
        <v>109</v>
      </c>
      <c r="D58" s="107">
        <v>114</v>
      </c>
      <c r="E58" s="107">
        <v>120</v>
      </c>
      <c r="F58" s="107">
        <v>126</v>
      </c>
      <c r="G58" s="108">
        <v>0</v>
      </c>
      <c r="H58" s="109">
        <v>0</v>
      </c>
    </row>
    <row r="59" spans="1:8" ht="16.05" customHeight="1" x14ac:dyDescent="0.3">
      <c r="A59" s="106" t="s">
        <v>155</v>
      </c>
      <c r="B59" s="107">
        <v>99</v>
      </c>
      <c r="C59" s="107">
        <v>104</v>
      </c>
      <c r="D59" s="107">
        <v>109</v>
      </c>
      <c r="E59" s="107">
        <v>114</v>
      </c>
      <c r="F59" s="107">
        <v>120</v>
      </c>
      <c r="G59" s="108">
        <v>0</v>
      </c>
      <c r="H59" s="109">
        <v>0</v>
      </c>
    </row>
    <row r="60" spans="1:8" ht="16.05" customHeight="1" x14ac:dyDescent="0.3">
      <c r="A60" s="110" t="s">
        <v>156</v>
      </c>
      <c r="B60" s="107">
        <v>101</v>
      </c>
      <c r="C60" s="107">
        <v>106</v>
      </c>
      <c r="D60" s="107">
        <v>111</v>
      </c>
      <c r="E60" s="107">
        <v>117</v>
      </c>
      <c r="F60" s="107">
        <v>140</v>
      </c>
      <c r="G60" s="108">
        <v>0</v>
      </c>
      <c r="H60" s="109">
        <v>0</v>
      </c>
    </row>
    <row r="61" spans="1:8" ht="16.05" customHeight="1" x14ac:dyDescent="0.3">
      <c r="A61" s="106" t="s">
        <v>157</v>
      </c>
      <c r="B61" s="107">
        <v>98</v>
      </c>
      <c r="C61" s="107">
        <v>103</v>
      </c>
      <c r="D61" s="107">
        <v>108</v>
      </c>
      <c r="E61" s="107">
        <v>113</v>
      </c>
      <c r="F61" s="107">
        <v>136</v>
      </c>
      <c r="G61" s="108">
        <v>0</v>
      </c>
      <c r="H61" s="109">
        <v>0</v>
      </c>
    </row>
    <row r="62" spans="1:8" ht="16.05" customHeight="1" x14ac:dyDescent="0.3">
      <c r="A62" s="110" t="s">
        <v>158</v>
      </c>
      <c r="B62" s="107">
        <v>100</v>
      </c>
      <c r="C62" s="107">
        <v>105</v>
      </c>
      <c r="D62" s="107">
        <v>110</v>
      </c>
      <c r="E62" s="107">
        <v>116</v>
      </c>
      <c r="F62" s="107">
        <v>139</v>
      </c>
      <c r="G62" s="108">
        <v>0</v>
      </c>
      <c r="H62" s="109">
        <v>0</v>
      </c>
    </row>
    <row r="63" spans="1:8" ht="4.95" customHeight="1" x14ac:dyDescent="0.3">
      <c r="A63" s="48"/>
      <c r="B63" s="48"/>
      <c r="C63" s="48"/>
      <c r="D63" s="48"/>
      <c r="E63" s="48"/>
      <c r="F63" s="48"/>
      <c r="G63" s="48"/>
      <c r="H63" s="48"/>
    </row>
  </sheetData>
  <mergeCells count="6">
    <mergeCell ref="A4:H4"/>
    <mergeCell ref="A2:H2"/>
    <mergeCell ref="A19:H19"/>
    <mergeCell ref="A49:H49"/>
    <mergeCell ref="A1:H1"/>
    <mergeCell ref="A34:H34"/>
  </mergeCells>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87"/>
  <sheetViews>
    <sheetView workbookViewId="0">
      <pane xSplit="1" ySplit="20" topLeftCell="B21" activePane="bottomRight" state="frozen"/>
      <selection pane="topRight"/>
      <selection pane="bottomLeft"/>
      <selection pane="bottomRight"/>
    </sheetView>
  </sheetViews>
  <sheetFormatPr defaultRowHeight="14.4" x14ac:dyDescent="0.3"/>
  <cols>
    <col min="1" max="1" width="9" customWidth="1"/>
    <col min="2" max="11" width="7" customWidth="1"/>
    <col min="12" max="12" width="9" customWidth="1"/>
    <col min="13" max="17" width="5" customWidth="1"/>
    <col min="18" max="18" width="9" customWidth="1"/>
    <col min="19" max="19" width="7" customWidth="1"/>
    <col min="20" max="20" width="8" customWidth="1"/>
    <col min="21" max="21" width="5" customWidth="1"/>
    <col min="22" max="22" width="9" customWidth="1"/>
    <col min="23" max="23" width="10" customWidth="1"/>
    <col min="24" max="25" width="9" customWidth="1"/>
    <col min="26" max="26" width="11" customWidth="1"/>
    <col min="27" max="27" width="10" customWidth="1"/>
    <col min="28" max="28" width="13" customWidth="1"/>
    <col min="29" max="31" width="7" customWidth="1"/>
    <col min="32" max="32" width="6" customWidth="1"/>
    <col min="33" max="34" width="8" customWidth="1"/>
  </cols>
  <sheetData>
    <row r="1" spans="1:34" ht="46.05" customHeight="1" x14ac:dyDescent="0.3">
      <c r="A1" s="405" t="s">
        <v>162</v>
      </c>
      <c r="B1" s="373"/>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4"/>
    </row>
    <row r="2" spans="1:34" ht="40.049999999999997" customHeight="1" x14ac:dyDescent="0.3">
      <c r="A2" s="408" t="s">
        <v>163</v>
      </c>
      <c r="B2" s="373"/>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3"/>
      <c r="AF2" s="373"/>
      <c r="AG2" s="373"/>
      <c r="AH2" s="374"/>
    </row>
    <row r="3" spans="1:34" ht="4.95" customHeight="1" x14ac:dyDescent="0.3">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row>
    <row r="4" spans="1:34" ht="18" customHeight="1" x14ac:dyDescent="0.3">
      <c r="A4" s="409" t="s">
        <v>164</v>
      </c>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4"/>
    </row>
    <row r="5" spans="1:34" ht="16.05" customHeight="1" x14ac:dyDescent="0.3">
      <c r="A5" s="111" t="s">
        <v>165</v>
      </c>
      <c r="B5" s="112">
        <v>0.15</v>
      </c>
      <c r="C5" s="406" t="s">
        <v>166</v>
      </c>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4"/>
    </row>
    <row r="6" spans="1:34" ht="16.05" customHeight="1" x14ac:dyDescent="0.3">
      <c r="A6" s="111" t="s">
        <v>167</v>
      </c>
      <c r="B6" s="112">
        <v>0.75</v>
      </c>
      <c r="C6" s="406" t="s">
        <v>168</v>
      </c>
      <c r="D6" s="373"/>
      <c r="E6" s="373"/>
      <c r="F6" s="373"/>
      <c r="G6" s="373"/>
      <c r="H6" s="373"/>
      <c r="I6" s="373"/>
      <c r="J6" s="373"/>
      <c r="K6" s="373"/>
      <c r="L6" s="373"/>
      <c r="M6" s="373"/>
      <c r="N6" s="373"/>
      <c r="O6" s="373"/>
      <c r="P6" s="373"/>
      <c r="Q6" s="373"/>
      <c r="R6" s="373"/>
      <c r="S6" s="373"/>
      <c r="T6" s="373"/>
      <c r="U6" s="373"/>
      <c r="V6" s="373"/>
      <c r="W6" s="373"/>
      <c r="X6" s="373"/>
      <c r="Y6" s="373"/>
      <c r="Z6" s="373"/>
      <c r="AA6" s="373"/>
      <c r="AB6" s="373"/>
      <c r="AC6" s="373"/>
      <c r="AD6" s="373"/>
      <c r="AE6" s="373"/>
      <c r="AF6" s="373"/>
      <c r="AG6" s="373"/>
      <c r="AH6" s="374"/>
    </row>
    <row r="7" spans="1:34" ht="16.05" customHeight="1" x14ac:dyDescent="0.3">
      <c r="A7" s="111" t="s">
        <v>169</v>
      </c>
      <c r="B7" s="112">
        <v>1.2</v>
      </c>
      <c r="C7" s="406" t="s">
        <v>170</v>
      </c>
      <c r="D7" s="373"/>
      <c r="E7" s="373"/>
      <c r="F7" s="374"/>
      <c r="I7" s="113" t="s">
        <v>171</v>
      </c>
      <c r="J7" s="114">
        <v>3.0000000000000001E-3</v>
      </c>
      <c r="K7" s="407" t="s">
        <v>172</v>
      </c>
      <c r="L7" s="373"/>
      <c r="M7" s="373"/>
      <c r="N7" s="373"/>
      <c r="O7" s="373"/>
      <c r="P7" s="373"/>
      <c r="Q7" s="373"/>
      <c r="R7" s="373"/>
      <c r="S7" s="373"/>
      <c r="T7" s="373"/>
      <c r="U7" s="373"/>
      <c r="V7" s="373"/>
      <c r="W7" s="373"/>
      <c r="X7" s="373"/>
      <c r="Y7" s="373"/>
      <c r="Z7" s="373"/>
      <c r="AA7" s="373"/>
      <c r="AB7" s="373"/>
      <c r="AC7" s="373"/>
      <c r="AD7" s="373"/>
      <c r="AE7" s="373"/>
      <c r="AF7" s="373"/>
      <c r="AG7" s="373"/>
      <c r="AH7" s="374"/>
    </row>
    <row r="8" spans="1:34" ht="16.05" customHeight="1" x14ac:dyDescent="0.3">
      <c r="A8" s="111" t="s">
        <v>173</v>
      </c>
      <c r="B8" s="112">
        <v>0.05</v>
      </c>
      <c r="C8" s="406" t="s">
        <v>174</v>
      </c>
      <c r="D8" s="373"/>
      <c r="E8" s="373"/>
      <c r="F8" s="374"/>
      <c r="I8" s="113" t="s">
        <v>175</v>
      </c>
      <c r="J8" s="114">
        <v>0.01</v>
      </c>
      <c r="K8" s="407" t="s">
        <v>176</v>
      </c>
      <c r="L8" s="373"/>
      <c r="M8" s="373"/>
      <c r="N8" s="373"/>
      <c r="O8" s="373"/>
      <c r="P8" s="373"/>
      <c r="Q8" s="373"/>
      <c r="R8" s="373"/>
      <c r="S8" s="373"/>
      <c r="T8" s="373"/>
      <c r="U8" s="373"/>
      <c r="V8" s="373"/>
      <c r="W8" s="373"/>
      <c r="X8" s="373"/>
      <c r="Y8" s="373"/>
      <c r="Z8" s="373"/>
      <c r="AA8" s="373"/>
      <c r="AB8" s="373"/>
      <c r="AC8" s="373"/>
      <c r="AD8" s="373"/>
      <c r="AE8" s="373"/>
      <c r="AF8" s="373"/>
      <c r="AG8" s="373"/>
      <c r="AH8" s="374"/>
    </row>
    <row r="9" spans="1:34" ht="16.05" customHeight="1" x14ac:dyDescent="0.3">
      <c r="A9" s="111" t="s">
        <v>177</v>
      </c>
      <c r="B9" s="112">
        <v>0.1</v>
      </c>
      <c r="C9" s="406" t="s">
        <v>178</v>
      </c>
      <c r="D9" s="373"/>
      <c r="E9" s="373"/>
      <c r="F9" s="374"/>
      <c r="I9" s="113" t="s">
        <v>179</v>
      </c>
      <c r="J9" s="114">
        <v>0.85</v>
      </c>
      <c r="K9" s="407" t="s">
        <v>180</v>
      </c>
      <c r="L9" s="373"/>
      <c r="M9" s="373"/>
      <c r="N9" s="373"/>
      <c r="O9" s="373"/>
      <c r="P9" s="373"/>
      <c r="Q9" s="373"/>
      <c r="R9" s="373"/>
      <c r="S9" s="373"/>
      <c r="T9" s="373"/>
      <c r="U9" s="373"/>
      <c r="V9" s="373"/>
      <c r="W9" s="373"/>
      <c r="X9" s="373"/>
      <c r="Y9" s="373"/>
      <c r="Z9" s="373"/>
      <c r="AA9" s="373"/>
      <c r="AB9" s="373"/>
      <c r="AC9" s="373"/>
      <c r="AD9" s="373"/>
      <c r="AE9" s="373"/>
      <c r="AF9" s="373"/>
      <c r="AG9" s="373"/>
      <c r="AH9" s="374"/>
    </row>
    <row r="10" spans="1:34" ht="16.05" customHeight="1" x14ac:dyDescent="0.3">
      <c r="A10" s="111" t="s">
        <v>181</v>
      </c>
      <c r="B10" s="112">
        <v>0.15</v>
      </c>
      <c r="C10" s="406" t="s">
        <v>182</v>
      </c>
      <c r="D10" s="373"/>
      <c r="E10" s="373"/>
      <c r="F10" s="373"/>
      <c r="G10" s="373"/>
      <c r="H10" s="373"/>
      <c r="I10" s="373"/>
      <c r="J10" s="373"/>
      <c r="K10" s="373"/>
      <c r="L10" s="373"/>
      <c r="M10" s="373"/>
      <c r="N10" s="373"/>
      <c r="O10" s="373"/>
      <c r="P10" s="373"/>
      <c r="Q10" s="373"/>
      <c r="R10" s="373"/>
      <c r="S10" s="373"/>
      <c r="T10" s="373"/>
      <c r="U10" s="373"/>
      <c r="V10" s="373"/>
      <c r="W10" s="373"/>
      <c r="X10" s="373"/>
      <c r="Y10" s="373"/>
      <c r="Z10" s="373"/>
      <c r="AA10" s="373"/>
      <c r="AB10" s="373"/>
      <c r="AC10" s="373"/>
      <c r="AD10" s="373"/>
      <c r="AE10" s="373"/>
      <c r="AF10" s="373"/>
      <c r="AG10" s="373"/>
      <c r="AH10" s="374"/>
    </row>
    <row r="11" spans="1:34" ht="16.05" customHeight="1" x14ac:dyDescent="0.3">
      <c r="A11" s="111" t="s">
        <v>183</v>
      </c>
      <c r="B11" s="112">
        <v>0.2</v>
      </c>
      <c r="C11" s="406" t="s">
        <v>184</v>
      </c>
      <c r="D11" s="373"/>
      <c r="E11" s="373"/>
      <c r="F11" s="373"/>
      <c r="G11" s="373"/>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4"/>
    </row>
    <row r="12" spans="1:34" ht="16.05" customHeight="1" x14ac:dyDescent="0.3">
      <c r="A12" s="111" t="s">
        <v>185</v>
      </c>
      <c r="B12" s="112">
        <v>0.5</v>
      </c>
      <c r="C12" s="406" t="s">
        <v>186</v>
      </c>
      <c r="D12" s="373"/>
      <c r="E12" s="373"/>
      <c r="F12" s="373"/>
      <c r="G12" s="373"/>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373"/>
      <c r="AH12" s="374"/>
    </row>
    <row r="13" spans="1:34" ht="16.05" customHeight="1" x14ac:dyDescent="0.3">
      <c r="A13" s="111" t="s">
        <v>187</v>
      </c>
      <c r="B13" s="112">
        <f>SUM(B8:B12)</f>
        <v>1</v>
      </c>
      <c r="C13" s="406" t="s">
        <v>188</v>
      </c>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4"/>
    </row>
    <row r="14" spans="1:34" ht="16.05" customHeight="1" x14ac:dyDescent="0.3">
      <c r="A14" s="111" t="s">
        <v>189</v>
      </c>
      <c r="B14" s="112">
        <v>0.7</v>
      </c>
      <c r="C14" s="406" t="s">
        <v>190</v>
      </c>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4"/>
    </row>
    <row r="15" spans="1:34" ht="16.05" customHeight="1" x14ac:dyDescent="0.3">
      <c r="A15" s="111" t="s">
        <v>191</v>
      </c>
      <c r="B15" s="112">
        <f>1-B14</f>
        <v>0.30000000000000004</v>
      </c>
      <c r="C15" s="406" t="s">
        <v>192</v>
      </c>
      <c r="D15" s="373"/>
      <c r="E15" s="373"/>
      <c r="F15" s="373"/>
      <c r="G15" s="373"/>
      <c r="H15" s="373"/>
      <c r="I15" s="373"/>
      <c r="J15" s="373"/>
      <c r="K15" s="373"/>
      <c r="L15" s="373"/>
      <c r="M15" s="373"/>
      <c r="N15" s="373"/>
      <c r="O15" s="373"/>
      <c r="P15" s="373"/>
      <c r="Q15" s="373"/>
      <c r="R15" s="373"/>
      <c r="S15" s="373"/>
      <c r="T15" s="373"/>
      <c r="U15" s="373"/>
      <c r="V15" s="373"/>
      <c r="W15" s="373"/>
      <c r="X15" s="373"/>
      <c r="Y15" s="373"/>
      <c r="Z15" s="373"/>
      <c r="AA15" s="373"/>
      <c r="AB15" s="373"/>
      <c r="AC15" s="373"/>
      <c r="AD15" s="373"/>
      <c r="AE15" s="373"/>
      <c r="AF15" s="373"/>
      <c r="AG15" s="373"/>
      <c r="AH15" s="374"/>
    </row>
    <row r="16" spans="1:34" ht="16.05" customHeight="1" x14ac:dyDescent="0.3">
      <c r="A16" s="111" t="s">
        <v>193</v>
      </c>
      <c r="B16" s="112">
        <v>0.1</v>
      </c>
      <c r="C16" s="406" t="s">
        <v>194</v>
      </c>
      <c r="D16" s="373"/>
      <c r="E16" s="373"/>
      <c r="F16" s="373"/>
      <c r="G16" s="373"/>
      <c r="H16" s="373"/>
      <c r="I16" s="373"/>
      <c r="J16" s="373"/>
      <c r="K16" s="373"/>
      <c r="L16" s="373"/>
      <c r="M16" s="373"/>
      <c r="N16" s="373"/>
      <c r="O16" s="373"/>
      <c r="P16" s="373"/>
      <c r="Q16" s="373"/>
      <c r="R16" s="373"/>
      <c r="S16" s="373"/>
      <c r="T16" s="373"/>
      <c r="U16" s="373"/>
      <c r="V16" s="373"/>
      <c r="W16" s="373"/>
      <c r="X16" s="373"/>
      <c r="Y16" s="373"/>
      <c r="Z16" s="373"/>
      <c r="AA16" s="373"/>
      <c r="AB16" s="373"/>
      <c r="AC16" s="373"/>
      <c r="AD16" s="373"/>
      <c r="AE16" s="373"/>
      <c r="AF16" s="373"/>
      <c r="AG16" s="373"/>
      <c r="AH16" s="374"/>
    </row>
    <row r="17" spans="1:34" ht="4.95" customHeight="1" x14ac:dyDescent="0.3">
      <c r="A17" s="48"/>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row>
    <row r="18" spans="1:34" ht="18" customHeight="1" x14ac:dyDescent="0.3">
      <c r="A18" s="115" t="s">
        <v>2</v>
      </c>
      <c r="B18" s="115" t="s">
        <v>143</v>
      </c>
      <c r="C18" s="115" t="s">
        <v>144</v>
      </c>
      <c r="D18" s="115" t="s">
        <v>3</v>
      </c>
      <c r="E18" s="115" t="s">
        <v>4</v>
      </c>
      <c r="F18" s="115" t="s">
        <v>5</v>
      </c>
      <c r="G18" s="115" t="s">
        <v>143</v>
      </c>
      <c r="H18" s="115" t="s">
        <v>144</v>
      </c>
      <c r="I18" s="115" t="s">
        <v>3</v>
      </c>
      <c r="J18" s="115" t="s">
        <v>4</v>
      </c>
      <c r="K18" s="115" t="s">
        <v>5</v>
      </c>
      <c r="L18" s="115" t="s">
        <v>195</v>
      </c>
      <c r="M18" s="115" t="s">
        <v>196</v>
      </c>
      <c r="N18" s="115" t="s">
        <v>196</v>
      </c>
      <c r="O18" s="115" t="s">
        <v>196</v>
      </c>
      <c r="P18" s="115" t="s">
        <v>196</v>
      </c>
      <c r="Q18" s="115" t="s">
        <v>196</v>
      </c>
      <c r="R18" s="115" t="s">
        <v>197</v>
      </c>
      <c r="S18" s="115" t="s">
        <v>198</v>
      </c>
      <c r="T18" s="115" t="s">
        <v>198</v>
      </c>
      <c r="U18" s="116" t="s">
        <v>199</v>
      </c>
      <c r="V18" s="116" t="s">
        <v>200</v>
      </c>
      <c r="W18" s="115" t="s">
        <v>201</v>
      </c>
      <c r="X18" s="115" t="s">
        <v>202</v>
      </c>
      <c r="Y18" s="115" t="s">
        <v>203</v>
      </c>
      <c r="Z18" s="115" t="s">
        <v>204</v>
      </c>
      <c r="AA18" s="115" t="s">
        <v>205</v>
      </c>
      <c r="AB18" s="115" t="s">
        <v>206</v>
      </c>
      <c r="AG18" s="117" t="s">
        <v>99</v>
      </c>
      <c r="AH18" s="117" t="s">
        <v>146</v>
      </c>
    </row>
    <row r="19" spans="1:34" ht="28.05" customHeight="1" x14ac:dyDescent="0.3">
      <c r="A19" s="118"/>
      <c r="B19" s="118" t="s">
        <v>207</v>
      </c>
      <c r="C19" s="118" t="s">
        <v>207</v>
      </c>
      <c r="D19" s="118" t="s">
        <v>207</v>
      </c>
      <c r="E19" s="118" t="s">
        <v>207</v>
      </c>
      <c r="F19" s="118" t="s">
        <v>207</v>
      </c>
      <c r="G19" s="118" t="s">
        <v>208</v>
      </c>
      <c r="H19" s="118" t="s">
        <v>208</v>
      </c>
      <c r="I19" s="118" t="s">
        <v>208</v>
      </c>
      <c r="J19" s="118" t="s">
        <v>208</v>
      </c>
      <c r="K19" s="118" t="s">
        <v>208</v>
      </c>
      <c r="L19" s="118" t="s">
        <v>209</v>
      </c>
      <c r="M19" s="118" t="s">
        <v>210</v>
      </c>
      <c r="N19" s="118" t="s">
        <v>211</v>
      </c>
      <c r="O19" s="118" t="s">
        <v>212</v>
      </c>
      <c r="P19" s="118" t="s">
        <v>213</v>
      </c>
      <c r="Q19" s="118" t="s">
        <v>214</v>
      </c>
      <c r="R19" s="118" t="s">
        <v>209</v>
      </c>
      <c r="S19" s="118" t="s">
        <v>215</v>
      </c>
      <c r="T19" s="118" t="s">
        <v>216</v>
      </c>
      <c r="U19" s="118" t="s">
        <v>217</v>
      </c>
      <c r="V19" s="118" t="s">
        <v>218</v>
      </c>
      <c r="W19" s="118" t="s">
        <v>219</v>
      </c>
      <c r="X19" s="118" t="s">
        <v>220</v>
      </c>
      <c r="Y19" s="118" t="s">
        <v>220</v>
      </c>
      <c r="Z19" s="118" t="s">
        <v>221</v>
      </c>
      <c r="AA19" s="118" t="s">
        <v>222</v>
      </c>
      <c r="AB19" s="118" t="s">
        <v>223</v>
      </c>
      <c r="AC19" s="119" t="s">
        <v>224</v>
      </c>
      <c r="AD19" s="119" t="s">
        <v>225</v>
      </c>
      <c r="AE19" s="119" t="s">
        <v>226</v>
      </c>
      <c r="AF19" s="119" t="s">
        <v>227</v>
      </c>
      <c r="AG19" s="118" t="s">
        <v>228</v>
      </c>
      <c r="AH19" s="118" t="s">
        <v>229</v>
      </c>
    </row>
    <row r="20" spans="1:34" ht="4.95" customHeight="1" x14ac:dyDescent="0.3">
      <c r="A20" s="48"/>
      <c r="B20" s="48"/>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row>
    <row r="21" spans="1:34" ht="18" customHeight="1" x14ac:dyDescent="0.3">
      <c r="A21" s="399" t="s">
        <v>230</v>
      </c>
      <c r="B21" s="373"/>
      <c r="C21" s="373"/>
      <c r="D21" s="373"/>
      <c r="E21" s="373"/>
      <c r="F21" s="373"/>
      <c r="G21" s="373"/>
      <c r="H21" s="373"/>
      <c r="I21" s="373"/>
      <c r="J21" s="373"/>
      <c r="K21" s="373"/>
      <c r="L21" s="373"/>
      <c r="M21" s="373"/>
      <c r="N21" s="373"/>
      <c r="O21" s="373"/>
      <c r="P21" s="373"/>
      <c r="Q21" s="373"/>
      <c r="R21" s="373"/>
      <c r="S21" s="373"/>
      <c r="T21" s="374"/>
    </row>
    <row r="22" spans="1:34" ht="16.95" customHeight="1" x14ac:dyDescent="0.3">
      <c r="A22" s="106" t="s">
        <v>147</v>
      </c>
      <c r="B22" s="120">
        <f>Données!B6</f>
        <v>77</v>
      </c>
      <c r="C22" s="120">
        <f>Données!C6</f>
        <v>79</v>
      </c>
      <c r="D22" s="120">
        <f>Données!D6</f>
        <v>81</v>
      </c>
      <c r="E22" s="120">
        <f>Données!E6</f>
        <v>83</v>
      </c>
      <c r="F22" s="120">
        <f>Données!F6</f>
        <v>85</v>
      </c>
      <c r="G22" s="120">
        <f>IF(ABS(B22-TREND($B22:$F22,{1,2,3,4,5},1))/ABS(TREND($B22:$F22,{1,2,3,4,5},1))&gt;$B$5,TREND($B22:$F22,{1,2,3,4,5},1),B22)</f>
        <v>77</v>
      </c>
      <c r="H22" s="120">
        <f>IF(ABS(C22-TREND($B22:$F22,{1,2,3,4,5},2))/ABS(TREND($B22:$F22,{1,2,3,4,5},2))&gt;$B$5,TREND($B22:$F22,{1,2,3,4,5},2),C22)</f>
        <v>79</v>
      </c>
      <c r="I22" s="120">
        <f>IF(ABS(D22-TREND($B22:$F22,{1,2,3,4,5},3))/ABS(TREND($B22:$F22,{1,2,3,4,5},3))&gt;$B$5,TREND($B22:$F22,{1,2,3,4,5},3),D22)</f>
        <v>81</v>
      </c>
      <c r="J22" s="120">
        <f>IF(ABS(E22-TREND($B22:$F22,{1,2,3,4,5},4))/ABS(TREND($B22:$F22,{1,2,3,4,5},4))&gt;$B$5,TREND($B22:$F22,{1,2,3,4,5},4),E22)</f>
        <v>83</v>
      </c>
      <c r="K22" s="120">
        <f>IF(ABS(F22-TREND($B22:$F22,{1,2,3,4,5},5))/ABS(TREND($B22:$F22,{1,2,3,4,5},5))&gt;$B$5,TREND($B22:$F22,{1,2,3,4,5},5),F22)</f>
        <v>85</v>
      </c>
      <c r="L22" s="121" t="str">
        <f>IF(AND(ABS(B22-TREND($B22:$F22,{1,2,3,4,5},1))/ABS(TREND($B22:$F22,{1,2,3,4,5},1))&gt;$B$5&lt;=$B$5,ABS(C22-TREND($B22:$F22,{1,2,3,4,5},2))/ABS(TREND($B22:$F22,{1,2,3,4,5},2))&gt;$B$5&lt;=$B$5,ABS(D22-TREND($B22:$F22,{1,2,3,4,5},3))/ABS(TREND($B22:$F22,{1,2,3,4,5},3))&gt;$B$5&lt;=$B$5,ABS(E22-TREND($B22:$F22,{1,2,3,4,5},4))/ABS(TREND($B22:$F22,{1,2,3,4,5},4))&gt;$B$5&lt;=$B$5,ABS(F22-TREND($B22:$F22,{1,2,3,4,5},5))/ABS(TREND($B22:$F22,{1,2,3,4,5},5))&gt;$B$5&lt;=$B$5),"✓",TRIM(IF(ABS(B22-TREND($B22:$F22,{1,2,3,4,5},1))/ABS(TREND($B22:$F22,{1,2,3,4,5},1))&gt;$B$5,"⚠Y-5 ","")&amp;IF(ABS(C22-TREND($B22:$F22,{1,2,3,4,5},2))/ABS(TREND($B22:$F22,{1,2,3,4,5},2))&gt;$B$5,"⚠Y-4 ","")&amp;IF(ABS(D22-TREND($B22:$F22,{1,2,3,4,5},3))/ABS(TREND($B22:$F22,{1,2,3,4,5},3))&gt;$B$5,"⚠Y-3 ","")&amp;IF(ABS(E22-TREND($B22:$F22,{1,2,3,4,5},4))/ABS(TREND($B22:$F22,{1,2,3,4,5},4))&gt;$B$5,"⚠Y-2 ","")&amp;IF(ABS(F22-TREND($B22:$F22,{1,2,3,4,5},5))/ABS(TREND($B22:$F22,{1,2,3,4,5},5))&gt;$B$5,"⚠Y-1 ","")))</f>
        <v/>
      </c>
      <c r="M22" s="122">
        <f t="shared" ref="M22:M33" si="0">G22/AVERAGE($G$22:$G$33)</f>
        <v>0.90677134445534835</v>
      </c>
      <c r="N22" s="122">
        <f t="shared" ref="N22:N33" si="1">H22/AVERAGE($H$22:$H$33)</f>
        <v>0.90891658676893572</v>
      </c>
      <c r="O22" s="122">
        <f t="shared" ref="O22:O33" si="2">I22/AVERAGE($I$22:$I$33)</f>
        <v>0.9109653233364573</v>
      </c>
      <c r="P22" s="122">
        <f t="shared" ref="P22:P33" si="3">J22/AVERAGE($J$22:$J$33)</f>
        <v>0.90405736588908048</v>
      </c>
      <c r="Q22" s="122">
        <f t="shared" ref="Q22:Q33" si="4">K22/AVERAGE($K$22:$K$33)</f>
        <v>0.91316025067144135</v>
      </c>
      <c r="R22" s="123">
        <f t="shared" ref="R22:R33" si="5">$B$8*M22+$B$9*N22+$B$10*O22+$B$11*P22+$B$12*Q22</f>
        <v>0.91026662291366633</v>
      </c>
      <c r="S22" s="124" t="str">
        <f t="shared" ref="S22:S33" si="6">IF(R22&lt;$B$6,"SB",IF(R22&gt;$B$7,"SH","NS"))</f>
        <v>NS</v>
      </c>
      <c r="T22" s="125" t="str">
        <f t="shared" ref="T22:T33" si="7">IF(SUMPRODUCT(--(M22:Q22&gt;$B$7))&gt;2.5,"SH",IF(SUMPRODUCT(--(M22:Q22&lt;$B$6))&gt;2.5,"SB","NS"))</f>
        <v>NS</v>
      </c>
      <c r="U22" s="369" t="s">
        <v>231</v>
      </c>
      <c r="V22" s="126">
        <v>2.0414224406140641E-3</v>
      </c>
      <c r="W22" s="127">
        <f t="shared" ref="W22:W33" si="8">K22*(1+V22)*(1+AG22*AH22)</f>
        <v>85.173520907452186</v>
      </c>
      <c r="X22" s="128">
        <v>87.4</v>
      </c>
      <c r="Y22" s="129">
        <v>86.8</v>
      </c>
      <c r="Z22" s="130">
        <f t="shared" ref="Z22:Z33" si="9">W22-Y22</f>
        <v>-1.626479092547811</v>
      </c>
      <c r="AA22" s="131">
        <f t="shared" ref="AA22:AA33" si="10">K22*($B$14*K22/J22+$B$15*J22/I22)*(1+AG22*AH22)</f>
        <v>87.063364569388668</v>
      </c>
      <c r="AB22" s="132" t="str">
        <f t="shared" ref="AB22:AB33" si="11">IF(SIGN(K22/J22-1)&lt;&gt;SIGN(J22/I22-1),"⚠ retournement",IF(ABS(K22/J22-J22/I22)&gt;$B$16,"⚡ accél.",""))</f>
        <v/>
      </c>
      <c r="AC22" s="133">
        <f t="shared" ref="AC22:AC33" si="12">IFERROR(SUMPRODUCT(($T$22:$T$33=T22)*(($K$22:$K$33/$G$22:$G$33-1)/48))/COUNTIF($T$22:$T$33,T22),0)</f>
        <v>2.0414224406140641E-3</v>
      </c>
      <c r="AD22" s="133">
        <f t="shared" ref="AD22:AD33" si="13">IFERROR(SUMPRODUCT(($T$22:$T$33=T22)*(($K$22:$K$33/$J$22:$J$33-1)/12))/COUNTIF($T$22:$T$33,T22),0)</f>
        <v>1.9010412887099843E-3</v>
      </c>
      <c r="AE22" s="133">
        <f t="shared" ref="AE22:AE33" si="14">IFERROR(IF(SUMPRODUCT(($T$22:$T$33=T22)*(ROW($T$22:$T$33)-ROW($T$22)+1&gt;9))&gt;0,SUMPRODUCT(($T$22:$T$33=T22)*(ROW($T$22:$T$33)-ROW($T$22)+1&gt;9)*(($K$22:$K$33/$J$22:$J$33-1)/12))/SUMPRODUCT(($T$22:$T$33=T22)*(ROW($T$22:$T$33)-ROW($T$22)+1&gt;9)),AD22),AD22)</f>
        <v>1.7227905655015641E-3</v>
      </c>
      <c r="AF22" s="134">
        <f t="shared" ref="AF22:AF33" si="15">MIN($J$9,$B$14+($J$9-$B$14)*MIN(1,IFERROR(ABS(AC22-AD22)/$J$8,1)))</f>
        <v>0.70210571727856119</v>
      </c>
      <c r="AG22" s="135">
        <f>Données!G6</f>
        <v>0</v>
      </c>
      <c r="AH22" s="136">
        <f>Données!H6</f>
        <v>0</v>
      </c>
    </row>
    <row r="23" spans="1:34" ht="16.95" customHeight="1" x14ac:dyDescent="0.3">
      <c r="A23" s="110" t="s">
        <v>148</v>
      </c>
      <c r="B23" s="137">
        <f>Données!B7</f>
        <v>79</v>
      </c>
      <c r="C23" s="137">
        <f>Données!C7</f>
        <v>81</v>
      </c>
      <c r="D23" s="137">
        <f>Données!D7</f>
        <v>83</v>
      </c>
      <c r="E23" s="137">
        <f>Données!E7</f>
        <v>85</v>
      </c>
      <c r="F23" s="137">
        <f>Données!F7</f>
        <v>87</v>
      </c>
      <c r="G23" s="137">
        <f>IF(ABS(B23-TREND($B23:$F23,{1,2,3,4,5},1))/ABS(TREND($B23:$F23,{1,2,3,4,5},1))&gt;$B$5,TREND($B23:$F23,{1,2,3,4,5},1),B23)</f>
        <v>79</v>
      </c>
      <c r="H23" s="137">
        <f>IF(ABS(C23-TREND($B23:$F23,{1,2,3,4,5},2))/ABS(TREND($B23:$F23,{1,2,3,4,5},2))&gt;$B$5,TREND($B23:$F23,{1,2,3,4,5},2),C23)</f>
        <v>81</v>
      </c>
      <c r="I23" s="137">
        <f>IF(ABS(D23-TREND($B23:$F23,{1,2,3,4,5},3))/ABS(TREND($B23:$F23,{1,2,3,4,5},3))&gt;$B$5,TREND($B23:$F23,{1,2,3,4,5},3),D23)</f>
        <v>83</v>
      </c>
      <c r="J23" s="137">
        <f>IF(ABS(E23-TREND($B23:$F23,{1,2,3,4,5},4))/ABS(TREND($B23:$F23,{1,2,3,4,5},4))&gt;$B$5,TREND($B23:$F23,{1,2,3,4,5},4),E23)</f>
        <v>85</v>
      </c>
      <c r="K23" s="137">
        <f>IF(ABS(F23-TREND($B23:$F23,{1,2,3,4,5},5))/ABS(TREND($B23:$F23,{1,2,3,4,5},5))&gt;$B$5,TREND($B23:$F23,{1,2,3,4,5},5),F23)</f>
        <v>87</v>
      </c>
      <c r="L23" s="138" t="str">
        <f>IF(AND(ABS(B23-TREND($B23:$F23,{1,2,3,4,5},1))/ABS(TREND($B23:$F23,{1,2,3,4,5},1))&gt;$B$5&lt;=$B$5,ABS(C23-TREND($B23:$F23,{1,2,3,4,5},2))/ABS(TREND($B23:$F23,{1,2,3,4,5},2))&gt;$B$5&lt;=$B$5,ABS(D23-TREND($B23:$F23,{1,2,3,4,5},3))/ABS(TREND($B23:$F23,{1,2,3,4,5},3))&gt;$B$5&lt;=$B$5,ABS(E23-TREND($B23:$F23,{1,2,3,4,5},4))/ABS(TREND($B23:$F23,{1,2,3,4,5},4))&gt;$B$5&lt;=$B$5,ABS(F23-TREND($B23:$F23,{1,2,3,4,5},5))/ABS(TREND($B23:$F23,{1,2,3,4,5},5))&gt;$B$5&lt;=$B$5),"✓",TRIM(IF(ABS(B23-TREND($B23:$F23,{1,2,3,4,5},1))/ABS(TREND($B23:$F23,{1,2,3,4,5},1))&gt;$B$5,"⚠Y-5 ","")&amp;IF(ABS(C23-TREND($B23:$F23,{1,2,3,4,5},2))/ABS(TREND($B23:$F23,{1,2,3,4,5},2))&gt;$B$5,"⚠Y-4 ","")&amp;IF(ABS(D23-TREND($B23:$F23,{1,2,3,4,5},3))/ABS(TREND($B23:$F23,{1,2,3,4,5},3))&gt;$B$5,"⚠Y-3 ","")&amp;IF(ABS(E23-TREND($B23:$F23,{1,2,3,4,5},4))/ABS(TREND($B23:$F23,{1,2,3,4,5},4))&gt;$B$5,"⚠Y-2 ","")&amp;IF(ABS(F23-TREND($B23:$F23,{1,2,3,4,5},5))/ABS(TREND($B23:$F23,{1,2,3,4,5},5))&gt;$B$5,"⚠Y-1 ","")))</f>
        <v/>
      </c>
      <c r="M23" s="139">
        <f t="shared" si="0"/>
        <v>0.93032384690873404</v>
      </c>
      <c r="N23" s="139">
        <f t="shared" si="1"/>
        <v>0.93192713326941512</v>
      </c>
      <c r="O23" s="139">
        <f t="shared" si="2"/>
        <v>0.9334582942830365</v>
      </c>
      <c r="P23" s="139">
        <f t="shared" si="3"/>
        <v>0.92584188072978124</v>
      </c>
      <c r="Q23" s="139">
        <f t="shared" si="4"/>
        <v>0.93464637421665175</v>
      </c>
      <c r="R23" s="123">
        <f t="shared" si="5"/>
        <v>0.93221921306911582</v>
      </c>
      <c r="S23" s="124" t="str">
        <f t="shared" si="6"/>
        <v>NS</v>
      </c>
      <c r="T23" s="125" t="str">
        <f t="shared" si="7"/>
        <v>NS</v>
      </c>
      <c r="U23" s="369" t="s">
        <v>231</v>
      </c>
      <c r="V23" s="126">
        <v>2.0414224406140641E-3</v>
      </c>
      <c r="W23" s="127">
        <f t="shared" si="8"/>
        <v>95.895364127566779</v>
      </c>
      <c r="X23" s="140">
        <v>98.3</v>
      </c>
      <c r="Y23" s="141">
        <v>97.8</v>
      </c>
      <c r="Z23" s="142">
        <f t="shared" si="9"/>
        <v>-1.904635872433218</v>
      </c>
      <c r="AA23" s="131">
        <f t="shared" si="10"/>
        <v>97.968042523033333</v>
      </c>
      <c r="AB23" s="143" t="str">
        <f t="shared" si="11"/>
        <v/>
      </c>
      <c r="AC23" s="133">
        <f t="shared" si="12"/>
        <v>2.0414224406140641E-3</v>
      </c>
      <c r="AD23" s="133">
        <f t="shared" si="13"/>
        <v>1.9010412887099843E-3</v>
      </c>
      <c r="AE23" s="133">
        <f t="shared" si="14"/>
        <v>1.7227905655015641E-3</v>
      </c>
      <c r="AF23" s="134">
        <f t="shared" si="15"/>
        <v>0.70210571727856119</v>
      </c>
      <c r="AG23" s="144">
        <f>Données!G7</f>
        <v>1</v>
      </c>
      <c r="AH23" s="145">
        <f>Données!H7</f>
        <v>0.1</v>
      </c>
    </row>
    <row r="24" spans="1:34" ht="16.95" customHeight="1" x14ac:dyDescent="0.3">
      <c r="A24" s="106" t="s">
        <v>149</v>
      </c>
      <c r="B24" s="120">
        <f>Données!B8</f>
        <v>82</v>
      </c>
      <c r="C24" s="120">
        <f>Données!C8</f>
        <v>84</v>
      </c>
      <c r="D24" s="120">
        <f>Données!D8</f>
        <v>86</v>
      </c>
      <c r="E24" s="120">
        <f>Données!E8</f>
        <v>88</v>
      </c>
      <c r="F24" s="120">
        <f>Données!F8</f>
        <v>90</v>
      </c>
      <c r="G24" s="120">
        <f>IF(ABS(B24-TREND($B24:$F24,{1,2,3,4,5},1))/ABS(TREND($B24:$F24,{1,2,3,4,5},1))&gt;$B$5,TREND($B24:$F24,{1,2,3,4,5},1),B24)</f>
        <v>82</v>
      </c>
      <c r="H24" s="120">
        <f>IF(ABS(C24-TREND($B24:$F24,{1,2,3,4,5},2))/ABS(TREND($B24:$F24,{1,2,3,4,5},2))&gt;$B$5,TREND($B24:$F24,{1,2,3,4,5},2),C24)</f>
        <v>84</v>
      </c>
      <c r="I24" s="120">
        <f>IF(ABS(D24-TREND($B24:$F24,{1,2,3,4,5},3))/ABS(TREND($B24:$F24,{1,2,3,4,5},3))&gt;$B$5,TREND($B24:$F24,{1,2,3,4,5},3),D24)</f>
        <v>86</v>
      </c>
      <c r="J24" s="120">
        <f>IF(ABS(E24-TREND($B24:$F24,{1,2,3,4,5},4))/ABS(TREND($B24:$F24,{1,2,3,4,5},4))&gt;$B$5,TREND($B24:$F24,{1,2,3,4,5},4),E24)</f>
        <v>88</v>
      </c>
      <c r="K24" s="120">
        <f>IF(ABS(F24-TREND($B24:$F24,{1,2,3,4,5},5))/ABS(TREND($B24:$F24,{1,2,3,4,5},5))&gt;$B$5,TREND($B24:$F24,{1,2,3,4,5},5),F24)</f>
        <v>90</v>
      </c>
      <c r="L24" s="121" t="str">
        <f>IF(AND(ABS(B24-TREND($B24:$F24,{1,2,3,4,5},1))/ABS(TREND($B24:$F24,{1,2,3,4,5},1))&gt;$B$5&lt;=$B$5,ABS(C24-TREND($B24:$F24,{1,2,3,4,5},2))/ABS(TREND($B24:$F24,{1,2,3,4,5},2))&gt;$B$5&lt;=$B$5,ABS(D24-TREND($B24:$F24,{1,2,3,4,5},3))/ABS(TREND($B24:$F24,{1,2,3,4,5},3))&gt;$B$5&lt;=$B$5,ABS(E24-TREND($B24:$F24,{1,2,3,4,5},4))/ABS(TREND($B24:$F24,{1,2,3,4,5},4))&gt;$B$5&lt;=$B$5,ABS(F24-TREND($B24:$F24,{1,2,3,4,5},5))/ABS(TREND($B24:$F24,{1,2,3,4,5},5))&gt;$B$5&lt;=$B$5),"✓",TRIM(IF(ABS(B24-TREND($B24:$F24,{1,2,3,4,5},1))/ABS(TREND($B24:$F24,{1,2,3,4,5},1))&gt;$B$5,"⚠Y-5 ","")&amp;IF(ABS(C24-TREND($B24:$F24,{1,2,3,4,5},2))/ABS(TREND($B24:$F24,{1,2,3,4,5},2))&gt;$B$5,"⚠Y-4 ","")&amp;IF(ABS(D24-TREND($B24:$F24,{1,2,3,4,5},3))/ABS(TREND($B24:$F24,{1,2,3,4,5},3))&gt;$B$5,"⚠Y-3 ","")&amp;IF(ABS(E24-TREND($B24:$F24,{1,2,3,4,5},4))/ABS(TREND($B24:$F24,{1,2,3,4,5},4))&gt;$B$5,"⚠Y-2 ","")&amp;IF(ABS(F24-TREND($B24:$F24,{1,2,3,4,5},5))/ABS(TREND($B24:$F24,{1,2,3,4,5},5))&gt;$B$5,"⚠Y-1 ","")))</f>
        <v/>
      </c>
      <c r="M24" s="122">
        <f t="shared" si="0"/>
        <v>0.96565260058881253</v>
      </c>
      <c r="N24" s="122">
        <f t="shared" si="1"/>
        <v>0.96644295302013417</v>
      </c>
      <c r="O24" s="122">
        <f t="shared" si="2"/>
        <v>0.96719775070290526</v>
      </c>
      <c r="P24" s="122">
        <f t="shared" si="3"/>
        <v>0.95851865299083228</v>
      </c>
      <c r="Q24" s="122">
        <f t="shared" si="4"/>
        <v>0.96687555953446735</v>
      </c>
      <c r="R24" s="123">
        <f t="shared" si="5"/>
        <v>0.96514809830228998</v>
      </c>
      <c r="S24" s="124" t="str">
        <f t="shared" si="6"/>
        <v>NS</v>
      </c>
      <c r="T24" s="125" t="str">
        <f t="shared" si="7"/>
        <v>NS</v>
      </c>
      <c r="U24" s="369" t="s">
        <v>231</v>
      </c>
      <c r="V24" s="126">
        <v>2.0414224406140641E-3</v>
      </c>
      <c r="W24" s="127">
        <f t="shared" si="8"/>
        <v>99.202100821620803</v>
      </c>
      <c r="X24" s="128">
        <v>101.7</v>
      </c>
      <c r="Y24" s="129">
        <v>101.2</v>
      </c>
      <c r="Z24" s="130">
        <f t="shared" si="9"/>
        <v>-1.9978991783791997</v>
      </c>
      <c r="AA24" s="131">
        <f t="shared" si="10"/>
        <v>101.26569767441862</v>
      </c>
      <c r="AB24" s="132" t="str">
        <f t="shared" si="11"/>
        <v/>
      </c>
      <c r="AC24" s="133">
        <f t="shared" si="12"/>
        <v>2.0414224406140641E-3</v>
      </c>
      <c r="AD24" s="133">
        <f t="shared" si="13"/>
        <v>1.9010412887099843E-3</v>
      </c>
      <c r="AE24" s="133">
        <f t="shared" si="14"/>
        <v>1.7227905655015641E-3</v>
      </c>
      <c r="AF24" s="134">
        <f t="shared" si="15"/>
        <v>0.70210571727856119</v>
      </c>
      <c r="AG24" s="135">
        <f>Données!G8</f>
        <v>1</v>
      </c>
      <c r="AH24" s="136">
        <f>Données!H8</f>
        <v>0.1</v>
      </c>
    </row>
    <row r="25" spans="1:34" ht="16.95" customHeight="1" x14ac:dyDescent="0.3">
      <c r="A25" s="110" t="s">
        <v>150</v>
      </c>
      <c r="B25" s="137">
        <f>Données!B9</f>
        <v>80</v>
      </c>
      <c r="C25" s="137">
        <f>Données!C9</f>
        <v>82</v>
      </c>
      <c r="D25" s="137">
        <f>Données!D9</f>
        <v>84</v>
      </c>
      <c r="E25" s="137">
        <f>Données!E9</f>
        <v>86</v>
      </c>
      <c r="F25" s="137">
        <f>Données!F9</f>
        <v>88</v>
      </c>
      <c r="G25" s="137">
        <f>IF(ABS(B25-TREND($B25:$F25,{1,2,3,4,5},1))/ABS(TREND($B25:$F25,{1,2,3,4,5},1))&gt;$B$5,TREND($B25:$F25,{1,2,3,4,5},1),B25)</f>
        <v>80</v>
      </c>
      <c r="H25" s="137">
        <f>IF(ABS(C25-TREND($B25:$F25,{1,2,3,4,5},2))/ABS(TREND($B25:$F25,{1,2,3,4,5},2))&gt;$B$5,TREND($B25:$F25,{1,2,3,4,5},2),C25)</f>
        <v>82</v>
      </c>
      <c r="I25" s="137">
        <f>IF(ABS(D25-TREND($B25:$F25,{1,2,3,4,5},3))/ABS(TREND($B25:$F25,{1,2,3,4,5},3))&gt;$B$5,TREND($B25:$F25,{1,2,3,4,5},3),D25)</f>
        <v>84</v>
      </c>
      <c r="J25" s="137">
        <f>IF(ABS(E25-TREND($B25:$F25,{1,2,3,4,5},4))/ABS(TREND($B25:$F25,{1,2,3,4,5},4))&gt;$B$5,TREND($B25:$F25,{1,2,3,4,5},4),E25)</f>
        <v>86</v>
      </c>
      <c r="K25" s="137">
        <f>IF(ABS(F25-TREND($B25:$F25,{1,2,3,4,5},5))/ABS(TREND($B25:$F25,{1,2,3,4,5},5))&gt;$B$5,TREND($B25:$F25,{1,2,3,4,5},5),F25)</f>
        <v>88</v>
      </c>
      <c r="L25" s="138" t="str">
        <f>IF(AND(ABS(B25-TREND($B25:$F25,{1,2,3,4,5},1))/ABS(TREND($B25:$F25,{1,2,3,4,5},1))&gt;$B$5&lt;=$B$5,ABS(C25-TREND($B25:$F25,{1,2,3,4,5},2))/ABS(TREND($B25:$F25,{1,2,3,4,5},2))&gt;$B$5&lt;=$B$5,ABS(D25-TREND($B25:$F25,{1,2,3,4,5},3))/ABS(TREND($B25:$F25,{1,2,3,4,5},3))&gt;$B$5&lt;=$B$5,ABS(E25-TREND($B25:$F25,{1,2,3,4,5},4))/ABS(TREND($B25:$F25,{1,2,3,4,5},4))&gt;$B$5&lt;=$B$5,ABS(F25-TREND($B25:$F25,{1,2,3,4,5},5))/ABS(TREND($B25:$F25,{1,2,3,4,5},5))&gt;$B$5&lt;=$B$5),"✓",TRIM(IF(ABS(B25-TREND($B25:$F25,{1,2,3,4,5},1))/ABS(TREND($B25:$F25,{1,2,3,4,5},1))&gt;$B$5,"⚠Y-5 ","")&amp;IF(ABS(C25-TREND($B25:$F25,{1,2,3,4,5},2))/ABS(TREND($B25:$F25,{1,2,3,4,5},2))&gt;$B$5,"⚠Y-4 ","")&amp;IF(ABS(D25-TREND($B25:$F25,{1,2,3,4,5},3))/ABS(TREND($B25:$F25,{1,2,3,4,5},3))&gt;$B$5,"⚠Y-3 ","")&amp;IF(ABS(E25-TREND($B25:$F25,{1,2,3,4,5},4))/ABS(TREND($B25:$F25,{1,2,3,4,5},4))&gt;$B$5,"⚠Y-2 ","")&amp;IF(ABS(F25-TREND($B25:$F25,{1,2,3,4,5},5))/ABS(TREND($B25:$F25,{1,2,3,4,5},5))&gt;$B$5,"⚠Y-1 ","")))</f>
        <v/>
      </c>
      <c r="M25" s="139">
        <f t="shared" si="0"/>
        <v>0.94210009813542683</v>
      </c>
      <c r="N25" s="139">
        <f t="shared" si="1"/>
        <v>0.94343240651965476</v>
      </c>
      <c r="O25" s="139">
        <f t="shared" si="2"/>
        <v>0.94470477975632605</v>
      </c>
      <c r="P25" s="139">
        <f t="shared" si="3"/>
        <v>0.93673413815013162</v>
      </c>
      <c r="Q25" s="139">
        <f t="shared" si="4"/>
        <v>0.94538943598925695</v>
      </c>
      <c r="R25" s="123">
        <f t="shared" si="5"/>
        <v>0.9431955081468405</v>
      </c>
      <c r="S25" s="124" t="str">
        <f t="shared" si="6"/>
        <v>NS</v>
      </c>
      <c r="T25" s="125" t="str">
        <f t="shared" si="7"/>
        <v>NS</v>
      </c>
      <c r="U25" s="369" t="s">
        <v>231</v>
      </c>
      <c r="V25" s="126">
        <v>2.0414224406140641E-3</v>
      </c>
      <c r="W25" s="127">
        <f t="shared" si="8"/>
        <v>88.179645174774038</v>
      </c>
      <c r="X25" s="140">
        <v>90.4</v>
      </c>
      <c r="Y25" s="141">
        <v>90</v>
      </c>
      <c r="Z25" s="142">
        <f t="shared" si="9"/>
        <v>-1.8203548252259623</v>
      </c>
      <c r="AA25" s="131">
        <f t="shared" si="10"/>
        <v>90.061129568106324</v>
      </c>
      <c r="AB25" s="143" t="str">
        <f t="shared" si="11"/>
        <v/>
      </c>
      <c r="AC25" s="133">
        <f t="shared" si="12"/>
        <v>2.0414224406140641E-3</v>
      </c>
      <c r="AD25" s="133">
        <f t="shared" si="13"/>
        <v>1.9010412887099843E-3</v>
      </c>
      <c r="AE25" s="133">
        <f t="shared" si="14"/>
        <v>1.7227905655015641E-3</v>
      </c>
      <c r="AF25" s="134">
        <f t="shared" si="15"/>
        <v>0.70210571727856119</v>
      </c>
      <c r="AG25" s="144">
        <f>Données!G9</f>
        <v>0</v>
      </c>
      <c r="AH25" s="145">
        <f>Données!H9</f>
        <v>0</v>
      </c>
    </row>
    <row r="26" spans="1:34" ht="16.95" customHeight="1" x14ac:dyDescent="0.3">
      <c r="A26" s="106" t="s">
        <v>151</v>
      </c>
      <c r="B26" s="120">
        <f>Données!B10</f>
        <v>78</v>
      </c>
      <c r="C26" s="120">
        <f>Données!C10</f>
        <v>80</v>
      </c>
      <c r="D26" s="120">
        <f>Données!D10</f>
        <v>82</v>
      </c>
      <c r="E26" s="120">
        <f>Données!E10</f>
        <v>84</v>
      </c>
      <c r="F26" s="120">
        <f>Données!F10</f>
        <v>86</v>
      </c>
      <c r="G26" s="120">
        <f>IF(ABS(B26-TREND($B26:$F26,{1,2,3,4,5},1))/ABS(TREND($B26:$F26,{1,2,3,4,5},1))&gt;$B$5,TREND($B26:$F26,{1,2,3,4,5},1),B26)</f>
        <v>78</v>
      </c>
      <c r="H26" s="120">
        <f>IF(ABS(C26-TREND($B26:$F26,{1,2,3,4,5},2))/ABS(TREND($B26:$F26,{1,2,3,4,5},2))&gt;$B$5,TREND($B26:$F26,{1,2,3,4,5},2),C26)</f>
        <v>80</v>
      </c>
      <c r="I26" s="120">
        <f>IF(ABS(D26-TREND($B26:$F26,{1,2,3,4,5},3))/ABS(TREND($B26:$F26,{1,2,3,4,5},3))&gt;$B$5,TREND($B26:$F26,{1,2,3,4,5},3),D26)</f>
        <v>82</v>
      </c>
      <c r="J26" s="120">
        <f>IF(ABS(E26-TREND($B26:$F26,{1,2,3,4,5},4))/ABS(TREND($B26:$F26,{1,2,3,4,5},4))&gt;$B$5,TREND($B26:$F26,{1,2,3,4,5},4),E26)</f>
        <v>84</v>
      </c>
      <c r="K26" s="120">
        <f>IF(ABS(F26-TREND($B26:$F26,{1,2,3,4,5},5))/ABS(TREND($B26:$F26,{1,2,3,4,5},5))&gt;$B$5,TREND($B26:$F26,{1,2,3,4,5},5),F26)</f>
        <v>86</v>
      </c>
      <c r="L26" s="121" t="str">
        <f>IF(AND(ABS(B26-TREND($B26:$F26,{1,2,3,4,5},1))/ABS(TREND($B26:$F26,{1,2,3,4,5},1))&gt;$B$5&lt;=$B$5,ABS(C26-TREND($B26:$F26,{1,2,3,4,5},2))/ABS(TREND($B26:$F26,{1,2,3,4,5},2))&gt;$B$5&lt;=$B$5,ABS(D26-TREND($B26:$F26,{1,2,3,4,5},3))/ABS(TREND($B26:$F26,{1,2,3,4,5},3))&gt;$B$5&lt;=$B$5,ABS(E26-TREND($B26:$F26,{1,2,3,4,5},4))/ABS(TREND($B26:$F26,{1,2,3,4,5},4))&gt;$B$5&lt;=$B$5,ABS(F26-TREND($B26:$F26,{1,2,3,4,5},5))/ABS(TREND($B26:$F26,{1,2,3,4,5},5))&gt;$B$5&lt;=$B$5),"✓",TRIM(IF(ABS(B26-TREND($B26:$F26,{1,2,3,4,5},1))/ABS(TREND($B26:$F26,{1,2,3,4,5},1))&gt;$B$5,"⚠Y-5 ","")&amp;IF(ABS(C26-TREND($B26:$F26,{1,2,3,4,5},2))/ABS(TREND($B26:$F26,{1,2,3,4,5},2))&gt;$B$5,"⚠Y-4 ","")&amp;IF(ABS(D26-TREND($B26:$F26,{1,2,3,4,5},3))/ABS(TREND($B26:$F26,{1,2,3,4,5},3))&gt;$B$5,"⚠Y-3 ","")&amp;IF(ABS(E26-TREND($B26:$F26,{1,2,3,4,5},4))/ABS(TREND($B26:$F26,{1,2,3,4,5},4))&gt;$B$5,"⚠Y-2 ","")&amp;IF(ABS(F26-TREND($B26:$F26,{1,2,3,4,5},5))/ABS(TREND($B26:$F26,{1,2,3,4,5},5))&gt;$B$5,"⚠Y-1 ","")))</f>
        <v/>
      </c>
      <c r="M26" s="122">
        <f t="shared" si="0"/>
        <v>0.91854759568204114</v>
      </c>
      <c r="N26" s="122">
        <f t="shared" si="1"/>
        <v>0.92042186001917536</v>
      </c>
      <c r="O26" s="122">
        <f t="shared" si="2"/>
        <v>0.92221180880974696</v>
      </c>
      <c r="P26" s="122">
        <f t="shared" si="3"/>
        <v>0.91494962330943086</v>
      </c>
      <c r="Q26" s="122">
        <f t="shared" si="4"/>
        <v>0.92390331244404655</v>
      </c>
      <c r="R26" s="123">
        <f t="shared" si="5"/>
        <v>0.92124291799139102</v>
      </c>
      <c r="S26" s="124" t="str">
        <f t="shared" si="6"/>
        <v>NS</v>
      </c>
      <c r="T26" s="125" t="str">
        <f t="shared" si="7"/>
        <v>NS</v>
      </c>
      <c r="U26" s="369" t="s">
        <v>231</v>
      </c>
      <c r="V26" s="126">
        <v>2.0414224406140641E-3</v>
      </c>
      <c r="W26" s="127">
        <f t="shared" si="8"/>
        <v>86.175562329892799</v>
      </c>
      <c r="X26" s="128">
        <v>88.4</v>
      </c>
      <c r="Y26" s="129">
        <v>87.9</v>
      </c>
      <c r="Z26" s="130">
        <f t="shared" si="9"/>
        <v>-1.7244376701072071</v>
      </c>
      <c r="AA26" s="131">
        <f t="shared" si="10"/>
        <v>88.06260162601626</v>
      </c>
      <c r="AB26" s="132" t="str">
        <f t="shared" si="11"/>
        <v/>
      </c>
      <c r="AC26" s="133">
        <f t="shared" si="12"/>
        <v>2.0414224406140641E-3</v>
      </c>
      <c r="AD26" s="133">
        <f t="shared" si="13"/>
        <v>1.9010412887099843E-3</v>
      </c>
      <c r="AE26" s="133">
        <f t="shared" si="14"/>
        <v>1.7227905655015641E-3</v>
      </c>
      <c r="AF26" s="134">
        <f t="shared" si="15"/>
        <v>0.70210571727856119</v>
      </c>
      <c r="AG26" s="135">
        <f>Données!G10</f>
        <v>0</v>
      </c>
      <c r="AH26" s="136">
        <f>Données!H10</f>
        <v>0</v>
      </c>
    </row>
    <row r="27" spans="1:34" ht="16.95" customHeight="1" x14ac:dyDescent="0.3">
      <c r="A27" s="110" t="s">
        <v>152</v>
      </c>
      <c r="B27" s="137">
        <f>Données!B11</f>
        <v>75</v>
      </c>
      <c r="C27" s="137">
        <f>Données!C11</f>
        <v>77</v>
      </c>
      <c r="D27" s="137">
        <f>Données!D11</f>
        <v>79</v>
      </c>
      <c r="E27" s="137">
        <f>Données!E11</f>
        <v>81</v>
      </c>
      <c r="F27" s="137">
        <f>Données!F11</f>
        <v>83</v>
      </c>
      <c r="G27" s="137">
        <f>IF(ABS(B27-TREND($B27:$F27,{1,2,3,4,5},1))/ABS(TREND($B27:$F27,{1,2,3,4,5},1))&gt;$B$5,TREND($B27:$F27,{1,2,3,4,5},1),B27)</f>
        <v>75</v>
      </c>
      <c r="H27" s="137">
        <f>IF(ABS(C27-TREND($B27:$F27,{1,2,3,4,5},2))/ABS(TREND($B27:$F27,{1,2,3,4,5},2))&gt;$B$5,TREND($B27:$F27,{1,2,3,4,5},2),C27)</f>
        <v>77</v>
      </c>
      <c r="I27" s="137">
        <f>IF(ABS(D27-TREND($B27:$F27,{1,2,3,4,5},3))/ABS(TREND($B27:$F27,{1,2,3,4,5},3))&gt;$B$5,TREND($B27:$F27,{1,2,3,4,5},3),D27)</f>
        <v>79</v>
      </c>
      <c r="J27" s="137">
        <f>IF(ABS(E27-TREND($B27:$F27,{1,2,3,4,5},4))/ABS(TREND($B27:$F27,{1,2,3,4,5},4))&gt;$B$5,TREND($B27:$F27,{1,2,3,4,5},4),E27)</f>
        <v>81</v>
      </c>
      <c r="K27" s="137">
        <f>IF(ABS(F27-TREND($B27:$F27,{1,2,3,4,5},5))/ABS(TREND($B27:$F27,{1,2,3,4,5},5))&gt;$B$5,TREND($B27:$F27,{1,2,3,4,5},5),F27)</f>
        <v>83</v>
      </c>
      <c r="L27" s="138" t="str">
        <f>IF(AND(ABS(B27-TREND($B27:$F27,{1,2,3,4,5},1))/ABS(TREND($B27:$F27,{1,2,3,4,5},1))&gt;$B$5&lt;=$B$5,ABS(C27-TREND($B27:$F27,{1,2,3,4,5},2))/ABS(TREND($B27:$F27,{1,2,3,4,5},2))&gt;$B$5&lt;=$B$5,ABS(D27-TREND($B27:$F27,{1,2,3,4,5},3))/ABS(TREND($B27:$F27,{1,2,3,4,5},3))&gt;$B$5&lt;=$B$5,ABS(E27-TREND($B27:$F27,{1,2,3,4,5},4))/ABS(TREND($B27:$F27,{1,2,3,4,5},4))&gt;$B$5&lt;=$B$5,ABS(F27-TREND($B27:$F27,{1,2,3,4,5},5))/ABS(TREND($B27:$F27,{1,2,3,4,5},5))&gt;$B$5&lt;=$B$5),"✓",TRIM(IF(ABS(B27-TREND($B27:$F27,{1,2,3,4,5},1))/ABS(TREND($B27:$F27,{1,2,3,4,5},1))&gt;$B$5,"⚠Y-5 ","")&amp;IF(ABS(C27-TREND($B27:$F27,{1,2,3,4,5},2))/ABS(TREND($B27:$F27,{1,2,3,4,5},2))&gt;$B$5,"⚠Y-4 ","")&amp;IF(ABS(D27-TREND($B27:$F27,{1,2,3,4,5},3))/ABS(TREND($B27:$F27,{1,2,3,4,5},3))&gt;$B$5,"⚠Y-3 ","")&amp;IF(ABS(E27-TREND($B27:$F27,{1,2,3,4,5},4))/ABS(TREND($B27:$F27,{1,2,3,4,5},4))&gt;$B$5,"⚠Y-2 ","")&amp;IF(ABS(F27-TREND($B27:$F27,{1,2,3,4,5},5))/ABS(TREND($B27:$F27,{1,2,3,4,5},5))&gt;$B$5,"⚠Y-1 ","")))</f>
        <v/>
      </c>
      <c r="M27" s="139">
        <f t="shared" si="0"/>
        <v>0.88321884200196266</v>
      </c>
      <c r="N27" s="139">
        <f t="shared" si="1"/>
        <v>0.88590604026845632</v>
      </c>
      <c r="O27" s="139">
        <f t="shared" si="2"/>
        <v>0.8884723523898781</v>
      </c>
      <c r="P27" s="139">
        <f t="shared" si="3"/>
        <v>0.88227285104837971</v>
      </c>
      <c r="Q27" s="139">
        <f t="shared" si="4"/>
        <v>0.89167412712623106</v>
      </c>
      <c r="R27" s="123">
        <f t="shared" si="5"/>
        <v>0.88831403275821685</v>
      </c>
      <c r="S27" s="124" t="str">
        <f t="shared" si="6"/>
        <v>NS</v>
      </c>
      <c r="T27" s="125" t="str">
        <f t="shared" si="7"/>
        <v>NS</v>
      </c>
      <c r="U27" s="369" t="s">
        <v>231</v>
      </c>
      <c r="V27" s="126">
        <v>2.0414224406140641E-3</v>
      </c>
      <c r="W27" s="127">
        <f t="shared" si="8"/>
        <v>83.169438062570961</v>
      </c>
      <c r="X27" s="140">
        <v>85.3</v>
      </c>
      <c r="Y27" s="141">
        <v>84.8</v>
      </c>
      <c r="Z27" s="142">
        <f t="shared" si="9"/>
        <v>-1.6305619374290359</v>
      </c>
      <c r="AA27" s="131">
        <f t="shared" si="10"/>
        <v>85.064947648070017</v>
      </c>
      <c r="AB27" s="143" t="str">
        <f t="shared" si="11"/>
        <v/>
      </c>
      <c r="AC27" s="133">
        <f t="shared" si="12"/>
        <v>2.0414224406140641E-3</v>
      </c>
      <c r="AD27" s="133">
        <f t="shared" si="13"/>
        <v>1.9010412887099843E-3</v>
      </c>
      <c r="AE27" s="133">
        <f t="shared" si="14"/>
        <v>1.7227905655015641E-3</v>
      </c>
      <c r="AF27" s="134">
        <f t="shared" si="15"/>
        <v>0.70210571727856119</v>
      </c>
      <c r="AG27" s="144">
        <f>Données!G11</f>
        <v>0</v>
      </c>
      <c r="AH27" s="145">
        <f>Données!H11</f>
        <v>0</v>
      </c>
    </row>
    <row r="28" spans="1:34" ht="16.95" customHeight="1" x14ac:dyDescent="0.3">
      <c r="A28" s="106" t="s">
        <v>153</v>
      </c>
      <c r="B28" s="120">
        <f>Données!B12</f>
        <v>76</v>
      </c>
      <c r="C28" s="120">
        <f>Données!C12</f>
        <v>78</v>
      </c>
      <c r="D28" s="120">
        <f>Données!D12</f>
        <v>80</v>
      </c>
      <c r="E28" s="120">
        <f>Données!E12</f>
        <v>82</v>
      </c>
      <c r="F28" s="120">
        <f>Données!F12</f>
        <v>84</v>
      </c>
      <c r="G28" s="120">
        <f>IF(ABS(B28-TREND($B28:$F28,{1,2,3,4,5},1))/ABS(TREND($B28:$F28,{1,2,3,4,5},1))&gt;$B$5,TREND($B28:$F28,{1,2,3,4,5},1),B28)</f>
        <v>76</v>
      </c>
      <c r="H28" s="120">
        <f>IF(ABS(C28-TREND($B28:$F28,{1,2,3,4,5},2))/ABS(TREND($B28:$F28,{1,2,3,4,5},2))&gt;$B$5,TREND($B28:$F28,{1,2,3,4,5},2),C28)</f>
        <v>78</v>
      </c>
      <c r="I28" s="120">
        <f>IF(ABS(D28-TREND($B28:$F28,{1,2,3,4,5},3))/ABS(TREND($B28:$F28,{1,2,3,4,5},3))&gt;$B$5,TREND($B28:$F28,{1,2,3,4,5},3),D28)</f>
        <v>80</v>
      </c>
      <c r="J28" s="120">
        <f>IF(ABS(E28-TREND($B28:$F28,{1,2,3,4,5},4))/ABS(TREND($B28:$F28,{1,2,3,4,5},4))&gt;$B$5,TREND($B28:$F28,{1,2,3,4,5},4),E28)</f>
        <v>82</v>
      </c>
      <c r="K28" s="120">
        <f>IF(ABS(F28-TREND($B28:$F28,{1,2,3,4,5},5))/ABS(TREND($B28:$F28,{1,2,3,4,5},5))&gt;$B$5,TREND($B28:$F28,{1,2,3,4,5},5),F28)</f>
        <v>84</v>
      </c>
      <c r="L28" s="121" t="str">
        <f>IF(AND(ABS(B28-TREND($B28:$F28,{1,2,3,4,5},1))/ABS(TREND($B28:$F28,{1,2,3,4,5},1))&gt;$B$5&lt;=$B$5,ABS(C28-TREND($B28:$F28,{1,2,3,4,5},2))/ABS(TREND($B28:$F28,{1,2,3,4,5},2))&gt;$B$5&lt;=$B$5,ABS(D28-TREND($B28:$F28,{1,2,3,4,5},3))/ABS(TREND($B28:$F28,{1,2,3,4,5},3))&gt;$B$5&lt;=$B$5,ABS(E28-TREND($B28:$F28,{1,2,3,4,5},4))/ABS(TREND($B28:$F28,{1,2,3,4,5},4))&gt;$B$5&lt;=$B$5,ABS(F28-TREND($B28:$F28,{1,2,3,4,5},5))/ABS(TREND($B28:$F28,{1,2,3,4,5},5))&gt;$B$5&lt;=$B$5),"✓",TRIM(IF(ABS(B28-TREND($B28:$F28,{1,2,3,4,5},1))/ABS(TREND($B28:$F28,{1,2,3,4,5},1))&gt;$B$5,"⚠Y-5 ","")&amp;IF(ABS(C28-TREND($B28:$F28,{1,2,3,4,5},2))/ABS(TREND($B28:$F28,{1,2,3,4,5},2))&gt;$B$5,"⚠Y-4 ","")&amp;IF(ABS(D28-TREND($B28:$F28,{1,2,3,4,5},3))/ABS(TREND($B28:$F28,{1,2,3,4,5},3))&gt;$B$5,"⚠Y-3 ","")&amp;IF(ABS(E28-TREND($B28:$F28,{1,2,3,4,5},4))/ABS(TREND($B28:$F28,{1,2,3,4,5},4))&gt;$B$5,"⚠Y-2 ","")&amp;IF(ABS(F28-TREND($B28:$F28,{1,2,3,4,5},5))/ABS(TREND($B28:$F28,{1,2,3,4,5},5))&gt;$B$5,"⚠Y-1 ","")))</f>
        <v/>
      </c>
      <c r="M28" s="122">
        <f t="shared" si="0"/>
        <v>0.89499509322865545</v>
      </c>
      <c r="N28" s="122">
        <f t="shared" si="1"/>
        <v>0.89741131351869607</v>
      </c>
      <c r="O28" s="122">
        <f t="shared" si="2"/>
        <v>0.89971883786316775</v>
      </c>
      <c r="P28" s="122">
        <f t="shared" si="3"/>
        <v>0.8931651084687301</v>
      </c>
      <c r="Q28" s="122">
        <f t="shared" si="4"/>
        <v>0.90241718889883626</v>
      </c>
      <c r="R28" s="123">
        <f t="shared" si="5"/>
        <v>0.89929032783594165</v>
      </c>
      <c r="S28" s="124" t="str">
        <f t="shared" si="6"/>
        <v>NS</v>
      </c>
      <c r="T28" s="125" t="str">
        <f t="shared" si="7"/>
        <v>NS</v>
      </c>
      <c r="U28" s="369" t="s">
        <v>231</v>
      </c>
      <c r="V28" s="126">
        <v>2.0414224406140641E-3</v>
      </c>
      <c r="W28" s="127">
        <f t="shared" si="8"/>
        <v>84.171479485011574</v>
      </c>
      <c r="X28" s="128">
        <v>86.3</v>
      </c>
      <c r="Y28" s="129">
        <v>85.8</v>
      </c>
      <c r="Z28" s="130">
        <f t="shared" si="9"/>
        <v>-1.6285205149884234</v>
      </c>
      <c r="AA28" s="131">
        <f t="shared" si="10"/>
        <v>86.064146341463427</v>
      </c>
      <c r="AB28" s="132" t="str">
        <f t="shared" si="11"/>
        <v/>
      </c>
      <c r="AC28" s="133">
        <f t="shared" si="12"/>
        <v>2.0414224406140641E-3</v>
      </c>
      <c r="AD28" s="133">
        <f t="shared" si="13"/>
        <v>1.9010412887099843E-3</v>
      </c>
      <c r="AE28" s="133">
        <f t="shared" si="14"/>
        <v>1.7227905655015641E-3</v>
      </c>
      <c r="AF28" s="134">
        <f t="shared" si="15"/>
        <v>0.70210571727856119</v>
      </c>
      <c r="AG28" s="135">
        <f>Données!G12</f>
        <v>0</v>
      </c>
      <c r="AH28" s="136">
        <f>Données!H12</f>
        <v>0</v>
      </c>
    </row>
    <row r="29" spans="1:34" ht="16.95" customHeight="1" x14ac:dyDescent="0.3">
      <c r="A29" s="110" t="s">
        <v>154</v>
      </c>
      <c r="B29" s="137">
        <f>Données!B13</f>
        <v>83</v>
      </c>
      <c r="C29" s="137">
        <f>Données!C13</f>
        <v>85</v>
      </c>
      <c r="D29" s="137">
        <f>Données!D13</f>
        <v>87</v>
      </c>
      <c r="E29" s="137">
        <f>Données!E13</f>
        <v>89</v>
      </c>
      <c r="F29" s="137">
        <f>Données!F13</f>
        <v>91</v>
      </c>
      <c r="G29" s="137">
        <f>IF(ABS(B29-TREND($B29:$F29,{1,2,3,4,5},1))/ABS(TREND($B29:$F29,{1,2,3,4,5},1))&gt;$B$5,TREND($B29:$F29,{1,2,3,4,5},1),B29)</f>
        <v>83</v>
      </c>
      <c r="H29" s="137">
        <f>IF(ABS(C29-TREND($B29:$F29,{1,2,3,4,5},2))/ABS(TREND($B29:$F29,{1,2,3,4,5},2))&gt;$B$5,TREND($B29:$F29,{1,2,3,4,5},2),C29)</f>
        <v>85</v>
      </c>
      <c r="I29" s="137">
        <f>IF(ABS(D29-TREND($B29:$F29,{1,2,3,4,5},3))/ABS(TREND($B29:$F29,{1,2,3,4,5},3))&gt;$B$5,TREND($B29:$F29,{1,2,3,4,5},3),D29)</f>
        <v>87</v>
      </c>
      <c r="J29" s="137">
        <f>IF(ABS(E29-TREND($B29:$F29,{1,2,3,4,5},4))/ABS(TREND($B29:$F29,{1,2,3,4,5},4))&gt;$B$5,TREND($B29:$F29,{1,2,3,4,5},4),E29)</f>
        <v>89</v>
      </c>
      <c r="K29" s="137">
        <f>IF(ABS(F29-TREND($B29:$F29,{1,2,3,4,5},5))/ABS(TREND($B29:$F29,{1,2,3,4,5},5))&gt;$B$5,TREND($B29:$F29,{1,2,3,4,5},5),F29)</f>
        <v>91</v>
      </c>
      <c r="L29" s="138" t="str">
        <f>IF(AND(ABS(B29-TREND($B29:$F29,{1,2,3,4,5},1))/ABS(TREND($B29:$F29,{1,2,3,4,5},1))&gt;$B$5&lt;=$B$5,ABS(C29-TREND($B29:$F29,{1,2,3,4,5},2))/ABS(TREND($B29:$F29,{1,2,3,4,5},2))&gt;$B$5&lt;=$B$5,ABS(D29-TREND($B29:$F29,{1,2,3,4,5},3))/ABS(TREND($B29:$F29,{1,2,3,4,5},3))&gt;$B$5&lt;=$B$5,ABS(E29-TREND($B29:$F29,{1,2,3,4,5},4))/ABS(TREND($B29:$F29,{1,2,3,4,5},4))&gt;$B$5&lt;=$B$5,ABS(F29-TREND($B29:$F29,{1,2,3,4,5},5))/ABS(TREND($B29:$F29,{1,2,3,4,5},5))&gt;$B$5&lt;=$B$5),"✓",TRIM(IF(ABS(B29-TREND($B29:$F29,{1,2,3,4,5},1))/ABS(TREND($B29:$F29,{1,2,3,4,5},1))&gt;$B$5,"⚠Y-5 ","")&amp;IF(ABS(C29-TREND($B29:$F29,{1,2,3,4,5},2))/ABS(TREND($B29:$F29,{1,2,3,4,5},2))&gt;$B$5,"⚠Y-4 ","")&amp;IF(ABS(D29-TREND($B29:$F29,{1,2,3,4,5},3))/ABS(TREND($B29:$F29,{1,2,3,4,5},3))&gt;$B$5,"⚠Y-3 ","")&amp;IF(ABS(E29-TREND($B29:$F29,{1,2,3,4,5},4))/ABS(TREND($B29:$F29,{1,2,3,4,5},4))&gt;$B$5,"⚠Y-2 ","")&amp;IF(ABS(F29-TREND($B29:$F29,{1,2,3,4,5},5))/ABS(TREND($B29:$F29,{1,2,3,4,5},5))&gt;$B$5,"⚠Y-1 ","")))</f>
        <v/>
      </c>
      <c r="M29" s="139">
        <f t="shared" si="0"/>
        <v>0.97742885181550532</v>
      </c>
      <c r="N29" s="139">
        <f t="shared" si="1"/>
        <v>0.97794822627037392</v>
      </c>
      <c r="O29" s="139">
        <f t="shared" si="2"/>
        <v>0.97844423617619491</v>
      </c>
      <c r="P29" s="139">
        <f t="shared" si="3"/>
        <v>0.96941091041118266</v>
      </c>
      <c r="Q29" s="139">
        <f t="shared" si="4"/>
        <v>0.97761862130707256</v>
      </c>
      <c r="R29" s="123">
        <f t="shared" si="5"/>
        <v>0.97612439338001467</v>
      </c>
      <c r="S29" s="124" t="str">
        <f t="shared" si="6"/>
        <v>NS</v>
      </c>
      <c r="T29" s="125" t="str">
        <f t="shared" si="7"/>
        <v>NS</v>
      </c>
      <c r="U29" s="369" t="s">
        <v>231</v>
      </c>
      <c r="V29" s="126">
        <v>2.0414224406140641E-3</v>
      </c>
      <c r="W29" s="127">
        <f t="shared" si="8"/>
        <v>91.185769442095875</v>
      </c>
      <c r="X29" s="140">
        <v>93.5</v>
      </c>
      <c r="Y29" s="141">
        <v>93.1</v>
      </c>
      <c r="Z29" s="142">
        <f t="shared" si="9"/>
        <v>-1.9142305579041192</v>
      </c>
      <c r="AA29" s="131">
        <f t="shared" si="10"/>
        <v>93.05904688105386</v>
      </c>
      <c r="AB29" s="143" t="str">
        <f t="shared" si="11"/>
        <v/>
      </c>
      <c r="AC29" s="133">
        <f t="shared" si="12"/>
        <v>2.0414224406140641E-3</v>
      </c>
      <c r="AD29" s="133">
        <f t="shared" si="13"/>
        <v>1.9010412887099843E-3</v>
      </c>
      <c r="AE29" s="133">
        <f t="shared" si="14"/>
        <v>1.7227905655015641E-3</v>
      </c>
      <c r="AF29" s="134">
        <f t="shared" si="15"/>
        <v>0.70210571727856119</v>
      </c>
      <c r="AG29" s="144">
        <f>Données!G13</f>
        <v>0</v>
      </c>
      <c r="AH29" s="145">
        <f>Données!H13</f>
        <v>0</v>
      </c>
    </row>
    <row r="30" spans="1:34" ht="16.95" customHeight="1" x14ac:dyDescent="0.3">
      <c r="A30" s="106" t="s">
        <v>155</v>
      </c>
      <c r="B30" s="120">
        <f>Données!B14</f>
        <v>91</v>
      </c>
      <c r="C30" s="120">
        <f>Données!C14</f>
        <v>93</v>
      </c>
      <c r="D30" s="120">
        <f>Données!D14</f>
        <v>95</v>
      </c>
      <c r="E30" s="120">
        <f>Données!E14</f>
        <v>97</v>
      </c>
      <c r="F30" s="120">
        <f>Données!F14</f>
        <v>99</v>
      </c>
      <c r="G30" s="120">
        <f>IF(ABS(B30-TREND($B30:$F30,{1,2,3,4,5},1))/ABS(TREND($B30:$F30,{1,2,3,4,5},1))&gt;$B$5,TREND($B30:$F30,{1,2,3,4,5},1),B30)</f>
        <v>91</v>
      </c>
      <c r="H30" s="120">
        <f>IF(ABS(C30-TREND($B30:$F30,{1,2,3,4,5},2))/ABS(TREND($B30:$F30,{1,2,3,4,5},2))&gt;$B$5,TREND($B30:$F30,{1,2,3,4,5},2),C30)</f>
        <v>93</v>
      </c>
      <c r="I30" s="120">
        <f>IF(ABS(D30-TREND($B30:$F30,{1,2,3,4,5},3))/ABS(TREND($B30:$F30,{1,2,3,4,5},3))&gt;$B$5,TREND($B30:$F30,{1,2,3,4,5},3),D30)</f>
        <v>95</v>
      </c>
      <c r="J30" s="120">
        <f>IF(ABS(E30-TREND($B30:$F30,{1,2,3,4,5},4))/ABS(TREND($B30:$F30,{1,2,3,4,5},4))&gt;$B$5,TREND($B30:$F30,{1,2,3,4,5},4),E30)</f>
        <v>97</v>
      </c>
      <c r="K30" s="120">
        <f>IF(ABS(F30-TREND($B30:$F30,{1,2,3,4,5},5))/ABS(TREND($B30:$F30,{1,2,3,4,5},5))&gt;$B$5,TREND($B30:$F30,{1,2,3,4,5},5),F30)</f>
        <v>99</v>
      </c>
      <c r="L30" s="121" t="str">
        <f>IF(AND(ABS(B30-TREND($B30:$F30,{1,2,3,4,5},1))/ABS(TREND($B30:$F30,{1,2,3,4,5},1))&gt;$B$5&lt;=$B$5,ABS(C30-TREND($B30:$F30,{1,2,3,4,5},2))/ABS(TREND($B30:$F30,{1,2,3,4,5},2))&gt;$B$5&lt;=$B$5,ABS(D30-TREND($B30:$F30,{1,2,3,4,5},3))/ABS(TREND($B30:$F30,{1,2,3,4,5},3))&gt;$B$5&lt;=$B$5,ABS(E30-TREND($B30:$F30,{1,2,3,4,5},4))/ABS(TREND($B30:$F30,{1,2,3,4,5},4))&gt;$B$5&lt;=$B$5,ABS(F30-TREND($B30:$F30,{1,2,3,4,5},5))/ABS(TREND($B30:$F30,{1,2,3,4,5},5))&gt;$B$5&lt;=$B$5),"✓",TRIM(IF(ABS(B30-TREND($B30:$F30,{1,2,3,4,5},1))/ABS(TREND($B30:$F30,{1,2,3,4,5},1))&gt;$B$5,"⚠Y-5 ","")&amp;IF(ABS(C30-TREND($B30:$F30,{1,2,3,4,5},2))/ABS(TREND($B30:$F30,{1,2,3,4,5},2))&gt;$B$5,"⚠Y-4 ","")&amp;IF(ABS(D30-TREND($B30:$F30,{1,2,3,4,5},3))/ABS(TREND($B30:$F30,{1,2,3,4,5},3))&gt;$B$5,"⚠Y-3 ","")&amp;IF(ABS(E30-TREND($B30:$F30,{1,2,3,4,5},4))/ABS(TREND($B30:$F30,{1,2,3,4,5},4))&gt;$B$5,"⚠Y-2 ","")&amp;IF(ABS(F30-TREND($B30:$F30,{1,2,3,4,5},5))/ABS(TREND($B30:$F30,{1,2,3,4,5},5))&gt;$B$5,"⚠Y-1 ","")))</f>
        <v/>
      </c>
      <c r="M30" s="122">
        <f t="shared" si="0"/>
        <v>1.071638861629048</v>
      </c>
      <c r="N30" s="122">
        <f t="shared" si="1"/>
        <v>1.0699904122722914</v>
      </c>
      <c r="O30" s="122">
        <f t="shared" si="2"/>
        <v>1.0684161199625117</v>
      </c>
      <c r="P30" s="122">
        <f t="shared" si="3"/>
        <v>1.0565489697739856</v>
      </c>
      <c r="Q30" s="122">
        <f t="shared" si="4"/>
        <v>1.0635631154879142</v>
      </c>
      <c r="R30" s="123">
        <f t="shared" si="5"/>
        <v>1.0639347540018125</v>
      </c>
      <c r="S30" s="124" t="str">
        <f t="shared" si="6"/>
        <v>NS</v>
      </c>
      <c r="T30" s="125" t="str">
        <f t="shared" si="7"/>
        <v>NS</v>
      </c>
      <c r="U30" s="369" t="s">
        <v>231</v>
      </c>
      <c r="V30" s="126">
        <v>2.0414224406140641E-3</v>
      </c>
      <c r="W30" s="127">
        <f t="shared" si="8"/>
        <v>99.202100821620789</v>
      </c>
      <c r="X30" s="128">
        <v>101.6</v>
      </c>
      <c r="Y30" s="129">
        <v>101.4</v>
      </c>
      <c r="Z30" s="130">
        <f t="shared" si="9"/>
        <v>-2.1978991783792168</v>
      </c>
      <c r="AA30" s="131">
        <f t="shared" si="10"/>
        <v>101.05412913727618</v>
      </c>
      <c r="AB30" s="132" t="str">
        <f t="shared" si="11"/>
        <v/>
      </c>
      <c r="AC30" s="133">
        <f t="shared" si="12"/>
        <v>2.0414224406140641E-3</v>
      </c>
      <c r="AD30" s="133">
        <f t="shared" si="13"/>
        <v>1.9010412887099843E-3</v>
      </c>
      <c r="AE30" s="133">
        <f t="shared" si="14"/>
        <v>1.7227905655015641E-3</v>
      </c>
      <c r="AF30" s="134">
        <f t="shared" si="15"/>
        <v>0.70210571727856119</v>
      </c>
      <c r="AG30" s="135">
        <f>Données!G14</f>
        <v>0</v>
      </c>
      <c r="AH30" s="136">
        <f>Données!H14</f>
        <v>0</v>
      </c>
    </row>
    <row r="31" spans="1:34" ht="16.95" customHeight="1" x14ac:dyDescent="0.3">
      <c r="A31" s="110" t="s">
        <v>156</v>
      </c>
      <c r="B31" s="137">
        <f>Données!B15</f>
        <v>116</v>
      </c>
      <c r="C31" s="137">
        <f>Données!C15</f>
        <v>118</v>
      </c>
      <c r="D31" s="137">
        <f>Données!D15</f>
        <v>120</v>
      </c>
      <c r="E31" s="137">
        <f>Données!E15</f>
        <v>155</v>
      </c>
      <c r="F31" s="137">
        <f>Données!F15</f>
        <v>126</v>
      </c>
      <c r="G31" s="137">
        <f>IF(ABS(B31-TREND($B31:$F31,{1,2,3,4,5},1))/ABS(TREND($B31:$F31,{1,2,3,4,5},1))&gt;$B$5,TREND($B31:$F31,{1,2,3,4,5},1),B31)</f>
        <v>116</v>
      </c>
      <c r="H31" s="137">
        <f>IF(ABS(C31-TREND($B31:$F31,{1,2,3,4,5},2))/ABS(TREND($B31:$F31,{1,2,3,4,5},2))&gt;$B$5,TREND($B31:$F31,{1,2,3,4,5},2),C31)</f>
        <v>118</v>
      </c>
      <c r="I31" s="137">
        <f>IF(ABS(D31-TREND($B31:$F31,{1,2,3,4,5},3))/ABS(TREND($B31:$F31,{1,2,3,4,5},3))&gt;$B$5,TREND($B31:$F31,{1,2,3,4,5},3),D31)</f>
        <v>120</v>
      </c>
      <c r="J31" s="137">
        <f>IF(ABS(E31-TREND($B31:$F31,{1,2,3,4,5},4))/ABS(TREND($B31:$F31,{1,2,3,4,5},4))&gt;$B$5,TREND($B31:$F31,{1,2,3,4,5},4),E31)</f>
        <v>132.70000000000002</v>
      </c>
      <c r="K31" s="137">
        <f>IF(ABS(F31-TREND($B31:$F31,{1,2,3,4,5},5))/ABS(TREND($B31:$F31,{1,2,3,4,5},5))&gt;$B$5,TREND($B31:$F31,{1,2,3,4,5},5),F31)</f>
        <v>126</v>
      </c>
      <c r="L31" s="138" t="str">
        <f>IF(AND(ABS(B31-TREND($B31:$F31,{1,2,3,4,5},1))/ABS(TREND($B31:$F31,{1,2,3,4,5},1))&gt;$B$5&lt;=$B$5,ABS(C31-TREND($B31:$F31,{1,2,3,4,5},2))/ABS(TREND($B31:$F31,{1,2,3,4,5},2))&gt;$B$5&lt;=$B$5,ABS(D31-TREND($B31:$F31,{1,2,3,4,5},3))/ABS(TREND($B31:$F31,{1,2,3,4,5},3))&gt;$B$5&lt;=$B$5,ABS(E31-TREND($B31:$F31,{1,2,3,4,5},4))/ABS(TREND($B31:$F31,{1,2,3,4,5},4))&gt;$B$5&lt;=$B$5,ABS(F31-TREND($B31:$F31,{1,2,3,4,5},5))/ABS(TREND($B31:$F31,{1,2,3,4,5},5))&gt;$B$5&lt;=$B$5),"✓",TRIM(IF(ABS(B31-TREND($B31:$F31,{1,2,3,4,5},1))/ABS(TREND($B31:$F31,{1,2,3,4,5},1))&gt;$B$5,"⚠Y-5 ","")&amp;IF(ABS(C31-TREND($B31:$F31,{1,2,3,4,5},2))/ABS(TREND($B31:$F31,{1,2,3,4,5},2))&gt;$B$5,"⚠Y-4 ","")&amp;IF(ABS(D31-TREND($B31:$F31,{1,2,3,4,5},3))/ABS(TREND($B31:$F31,{1,2,3,4,5},3))&gt;$B$5,"⚠Y-3 ","")&amp;IF(ABS(E31-TREND($B31:$F31,{1,2,3,4,5},4))/ABS(TREND($B31:$F31,{1,2,3,4,5},4))&gt;$B$5,"⚠Y-2 ","")&amp;IF(ABS(F31-TREND($B31:$F31,{1,2,3,4,5},5))/ABS(TREND($B31:$F31,{1,2,3,4,5},5))&gt;$B$5,"⚠Y-1 ","")))</f>
        <v>⚠Y-2</v>
      </c>
      <c r="M31" s="139">
        <f t="shared" si="0"/>
        <v>1.3660451422963689</v>
      </c>
      <c r="N31" s="139">
        <f t="shared" si="1"/>
        <v>1.3576222435282836</v>
      </c>
      <c r="O31" s="139">
        <f t="shared" si="2"/>
        <v>1.3495782567947516</v>
      </c>
      <c r="P31" s="139">
        <f t="shared" si="3"/>
        <v>1.4454025596804938</v>
      </c>
      <c r="Q31" s="139">
        <f t="shared" si="4"/>
        <v>1.3536257833482543</v>
      </c>
      <c r="R31" s="123">
        <f t="shared" si="5"/>
        <v>1.3723946235970854</v>
      </c>
      <c r="S31" s="124" t="str">
        <f t="shared" si="6"/>
        <v>SH</v>
      </c>
      <c r="T31" s="125" t="str">
        <f t="shared" si="7"/>
        <v>SH</v>
      </c>
      <c r="U31" s="370" t="s">
        <v>232</v>
      </c>
      <c r="V31" s="126">
        <v>-2.947070228087067E-3</v>
      </c>
      <c r="W31" s="127">
        <f t="shared" si="8"/>
        <v>125.62866915126104</v>
      </c>
      <c r="X31" s="140">
        <v>134.80000000000001</v>
      </c>
      <c r="Y31" s="141">
        <v>132</v>
      </c>
      <c r="Z31" s="142">
        <f t="shared" si="9"/>
        <v>-6.3713308487389639</v>
      </c>
      <c r="AA31" s="131">
        <f t="shared" si="10"/>
        <v>125.54729728711378</v>
      </c>
      <c r="AB31" s="143" t="str">
        <f t="shared" si="11"/>
        <v>⚠ retournement</v>
      </c>
      <c r="AC31" s="133">
        <f t="shared" si="12"/>
        <v>1.7959770114942541E-3</v>
      </c>
      <c r="AD31" s="133">
        <f t="shared" si="13"/>
        <v>-4.2074855563928775E-3</v>
      </c>
      <c r="AE31" s="133">
        <f t="shared" si="14"/>
        <v>-4.2074855563928775E-3</v>
      </c>
      <c r="AF31" s="134">
        <f t="shared" si="15"/>
        <v>0.79005193851830691</v>
      </c>
      <c r="AG31" s="144">
        <f>Données!G15</f>
        <v>0</v>
      </c>
      <c r="AH31" s="145">
        <f>Données!H15</f>
        <v>0</v>
      </c>
    </row>
    <row r="32" spans="1:34" ht="16.95" customHeight="1" x14ac:dyDescent="0.3">
      <c r="A32" s="106" t="s">
        <v>157</v>
      </c>
      <c r="B32" s="120">
        <f>Données!B16</f>
        <v>96</v>
      </c>
      <c r="C32" s="120">
        <f>Données!C16</f>
        <v>98</v>
      </c>
      <c r="D32" s="120">
        <f>Données!D16</f>
        <v>100</v>
      </c>
      <c r="E32" s="120">
        <f>Données!E16</f>
        <v>102</v>
      </c>
      <c r="F32" s="120">
        <f>Données!F16</f>
        <v>104</v>
      </c>
      <c r="G32" s="120">
        <f>IF(ABS(B32-TREND($B32:$F32,{1,2,3,4,5},1))/ABS(TREND($B32:$F32,{1,2,3,4,5},1))&gt;$B$5,TREND($B32:$F32,{1,2,3,4,5},1),B32)</f>
        <v>96</v>
      </c>
      <c r="H32" s="120">
        <f>IF(ABS(C32-TREND($B32:$F32,{1,2,3,4,5},2))/ABS(TREND($B32:$F32,{1,2,3,4,5},2))&gt;$B$5,TREND($B32:$F32,{1,2,3,4,5},2),C32)</f>
        <v>98</v>
      </c>
      <c r="I32" s="120">
        <f>IF(ABS(D32-TREND($B32:$F32,{1,2,3,4,5},3))/ABS(TREND($B32:$F32,{1,2,3,4,5},3))&gt;$B$5,TREND($B32:$F32,{1,2,3,4,5},3),D32)</f>
        <v>100</v>
      </c>
      <c r="J32" s="120">
        <f>IF(ABS(E32-TREND($B32:$F32,{1,2,3,4,5},4))/ABS(TREND($B32:$F32,{1,2,3,4,5},4))&gt;$B$5,TREND($B32:$F32,{1,2,3,4,5},4),E32)</f>
        <v>102</v>
      </c>
      <c r="K32" s="120">
        <f>IF(ABS(F32-TREND($B32:$F32,{1,2,3,4,5},5))/ABS(TREND($B32:$F32,{1,2,3,4,5},5))&gt;$B$5,TREND($B32:$F32,{1,2,3,4,5},5),F32)</f>
        <v>104</v>
      </c>
      <c r="L32" s="121" t="str">
        <f>IF(AND(ABS(B32-TREND($B32:$F32,{1,2,3,4,5},1))/ABS(TREND($B32:$F32,{1,2,3,4,5},1))&gt;$B$5&lt;=$B$5,ABS(C32-TREND($B32:$F32,{1,2,3,4,5},2))/ABS(TREND($B32:$F32,{1,2,3,4,5},2))&gt;$B$5&lt;=$B$5,ABS(D32-TREND($B32:$F32,{1,2,3,4,5},3))/ABS(TREND($B32:$F32,{1,2,3,4,5},3))&gt;$B$5&lt;=$B$5,ABS(E32-TREND($B32:$F32,{1,2,3,4,5},4))/ABS(TREND($B32:$F32,{1,2,3,4,5},4))&gt;$B$5&lt;=$B$5,ABS(F32-TREND($B32:$F32,{1,2,3,4,5},5))/ABS(TREND($B32:$F32,{1,2,3,4,5},5))&gt;$B$5&lt;=$B$5),"✓",TRIM(IF(ABS(B32-TREND($B32:$F32,{1,2,3,4,5},1))/ABS(TREND($B32:$F32,{1,2,3,4,5},1))&gt;$B$5,"⚠Y-5 ","")&amp;IF(ABS(C32-TREND($B32:$F32,{1,2,3,4,5},2))/ABS(TREND($B32:$F32,{1,2,3,4,5},2))&gt;$B$5,"⚠Y-4 ","")&amp;IF(ABS(D32-TREND($B32:$F32,{1,2,3,4,5},3))/ABS(TREND($B32:$F32,{1,2,3,4,5},3))&gt;$B$5,"⚠Y-3 ","")&amp;IF(ABS(E32-TREND($B32:$F32,{1,2,3,4,5},4))/ABS(TREND($B32:$F32,{1,2,3,4,5},4))&gt;$B$5,"⚠Y-2 ","")&amp;IF(ABS(F32-TREND($B32:$F32,{1,2,3,4,5},5))/ABS(TREND($B32:$F32,{1,2,3,4,5},5))&gt;$B$5,"⚠Y-1 ","")))</f>
        <v/>
      </c>
      <c r="M32" s="122">
        <f t="shared" si="0"/>
        <v>1.1305201177625122</v>
      </c>
      <c r="N32" s="122">
        <f t="shared" si="1"/>
        <v>1.1275167785234899</v>
      </c>
      <c r="O32" s="122">
        <f t="shared" si="2"/>
        <v>1.1246485473289596</v>
      </c>
      <c r="P32" s="122">
        <f t="shared" si="3"/>
        <v>1.1110102568757374</v>
      </c>
      <c r="Q32" s="122">
        <f t="shared" si="4"/>
        <v>1.1172784243509402</v>
      </c>
      <c r="R32" s="123">
        <f t="shared" si="5"/>
        <v>1.1188162293904362</v>
      </c>
      <c r="S32" s="124" t="str">
        <f t="shared" si="6"/>
        <v>NS</v>
      </c>
      <c r="T32" s="125" t="str">
        <f t="shared" si="7"/>
        <v>NS</v>
      </c>
      <c r="U32" s="369" t="s">
        <v>231</v>
      </c>
      <c r="V32" s="126">
        <v>2.0414224406140641E-3</v>
      </c>
      <c r="W32" s="127">
        <f t="shared" si="8"/>
        <v>104.21230793382385</v>
      </c>
      <c r="X32" s="128">
        <v>106.7</v>
      </c>
      <c r="Y32" s="129">
        <v>106.6</v>
      </c>
      <c r="Z32" s="130">
        <f t="shared" si="9"/>
        <v>-2.3876920661761432</v>
      </c>
      <c r="AA32" s="131">
        <f t="shared" si="10"/>
        <v>106.05145098039218</v>
      </c>
      <c r="AB32" s="132" t="str">
        <f t="shared" si="11"/>
        <v/>
      </c>
      <c r="AC32" s="133">
        <f t="shared" si="12"/>
        <v>2.0414224406140641E-3</v>
      </c>
      <c r="AD32" s="133">
        <f t="shared" si="13"/>
        <v>1.9010412887099843E-3</v>
      </c>
      <c r="AE32" s="133">
        <f t="shared" si="14"/>
        <v>1.7227905655015641E-3</v>
      </c>
      <c r="AF32" s="134">
        <f t="shared" si="15"/>
        <v>0.70210571727856119</v>
      </c>
      <c r="AG32" s="135">
        <f>Données!G16</f>
        <v>0</v>
      </c>
      <c r="AH32" s="136">
        <f>Données!H16</f>
        <v>0</v>
      </c>
    </row>
    <row r="33" spans="1:34" ht="16.95" customHeight="1" x14ac:dyDescent="0.3">
      <c r="A33" s="110" t="s">
        <v>158</v>
      </c>
      <c r="B33" s="137">
        <f>Données!B17</f>
        <v>86</v>
      </c>
      <c r="C33" s="137">
        <f>Données!C17</f>
        <v>88</v>
      </c>
      <c r="D33" s="137">
        <f>Données!D17</f>
        <v>90</v>
      </c>
      <c r="E33" s="137">
        <f>Données!E17</f>
        <v>92</v>
      </c>
      <c r="F33" s="137">
        <f>Données!F17</f>
        <v>94</v>
      </c>
      <c r="G33" s="137">
        <f>IF(ABS(B33-TREND($B33:$F33,{1,2,3,4,5},1))/ABS(TREND($B33:$F33,{1,2,3,4,5},1))&gt;$B$5,TREND($B33:$F33,{1,2,3,4,5},1),B33)</f>
        <v>86</v>
      </c>
      <c r="H33" s="137">
        <f>IF(ABS(C33-TREND($B33:$F33,{1,2,3,4,5},2))/ABS(TREND($B33:$F33,{1,2,3,4,5},2))&gt;$B$5,TREND($B33:$F33,{1,2,3,4,5},2),C33)</f>
        <v>88</v>
      </c>
      <c r="I33" s="137">
        <f>IF(ABS(D33-TREND($B33:$F33,{1,2,3,4,5},3))/ABS(TREND($B33:$F33,{1,2,3,4,5},3))&gt;$B$5,TREND($B33:$F33,{1,2,3,4,5},3),D33)</f>
        <v>90</v>
      </c>
      <c r="J33" s="137">
        <f>IF(ABS(E33-TREND($B33:$F33,{1,2,3,4,5},4))/ABS(TREND($B33:$F33,{1,2,3,4,5},4))&gt;$B$5,TREND($B33:$F33,{1,2,3,4,5},4),E33)</f>
        <v>92</v>
      </c>
      <c r="K33" s="137">
        <f>IF(ABS(F33-TREND($B33:$F33,{1,2,3,4,5},5))/ABS(TREND($B33:$F33,{1,2,3,4,5},5))&gt;$B$5,TREND($B33:$F33,{1,2,3,4,5},5),F33)</f>
        <v>94</v>
      </c>
      <c r="L33" s="138" t="str">
        <f>IF(AND(ABS(B33-TREND($B33:$F33,{1,2,3,4,5},1))/ABS(TREND($B33:$F33,{1,2,3,4,5},1))&gt;$B$5&lt;=$B$5,ABS(C33-TREND($B33:$F33,{1,2,3,4,5},2))/ABS(TREND($B33:$F33,{1,2,3,4,5},2))&gt;$B$5&lt;=$B$5,ABS(D33-TREND($B33:$F33,{1,2,3,4,5},3))/ABS(TREND($B33:$F33,{1,2,3,4,5},3))&gt;$B$5&lt;=$B$5,ABS(E33-TREND($B33:$F33,{1,2,3,4,5},4))/ABS(TREND($B33:$F33,{1,2,3,4,5},4))&gt;$B$5&lt;=$B$5,ABS(F33-TREND($B33:$F33,{1,2,3,4,5},5))/ABS(TREND($B33:$F33,{1,2,3,4,5},5))&gt;$B$5&lt;=$B$5),"✓",TRIM(IF(ABS(B33-TREND($B33:$F33,{1,2,3,4,5},1))/ABS(TREND($B33:$F33,{1,2,3,4,5},1))&gt;$B$5,"⚠Y-5 ","")&amp;IF(ABS(C33-TREND($B33:$F33,{1,2,3,4,5},2))/ABS(TREND($B33:$F33,{1,2,3,4,5},2))&gt;$B$5,"⚠Y-4 ","")&amp;IF(ABS(D33-TREND($B33:$F33,{1,2,3,4,5},3))/ABS(TREND($B33:$F33,{1,2,3,4,5},3))&gt;$B$5,"⚠Y-3 ","")&amp;IF(ABS(E33-TREND($B33:$F33,{1,2,3,4,5},4))/ABS(TREND($B33:$F33,{1,2,3,4,5},4))&gt;$B$5,"⚠Y-2 ","")&amp;IF(ABS(F33-TREND($B33:$F33,{1,2,3,4,5},5))/ABS(TREND($B33:$F33,{1,2,3,4,5},5))&gt;$B$5,"⚠Y-1 ","")))</f>
        <v/>
      </c>
      <c r="M33" s="139">
        <f t="shared" si="0"/>
        <v>1.0127576054955838</v>
      </c>
      <c r="N33" s="139">
        <f t="shared" si="1"/>
        <v>1.012464046021093</v>
      </c>
      <c r="O33" s="139">
        <f t="shared" si="2"/>
        <v>1.0121836925960637</v>
      </c>
      <c r="P33" s="139">
        <f t="shared" si="3"/>
        <v>1.0020876826722338</v>
      </c>
      <c r="Q33" s="139">
        <f t="shared" si="4"/>
        <v>1.0098478066248882</v>
      </c>
      <c r="R33" s="123">
        <f t="shared" si="5"/>
        <v>1.0090532786131887</v>
      </c>
      <c r="S33" s="124" t="str">
        <f t="shared" si="6"/>
        <v>NS</v>
      </c>
      <c r="T33" s="125" t="str">
        <f t="shared" si="7"/>
        <v>NS</v>
      </c>
      <c r="U33" s="369" t="s">
        <v>231</v>
      </c>
      <c r="V33" s="126">
        <v>2.0414224406140641E-3</v>
      </c>
      <c r="W33" s="127">
        <f t="shared" si="8"/>
        <v>94.191893709417712</v>
      </c>
      <c r="X33" s="140">
        <v>96.5</v>
      </c>
      <c r="Y33" s="141">
        <v>96.2</v>
      </c>
      <c r="Z33" s="142">
        <f t="shared" si="9"/>
        <v>-2.0081062905822904</v>
      </c>
      <c r="AA33" s="131">
        <f t="shared" si="10"/>
        <v>96.057101449275365</v>
      </c>
      <c r="AB33" s="143" t="str">
        <f t="shared" si="11"/>
        <v/>
      </c>
      <c r="AC33" s="133">
        <f t="shared" si="12"/>
        <v>2.0414224406140641E-3</v>
      </c>
      <c r="AD33" s="133">
        <f t="shared" si="13"/>
        <v>1.9010412887099843E-3</v>
      </c>
      <c r="AE33" s="133">
        <f t="shared" si="14"/>
        <v>1.7227905655015641E-3</v>
      </c>
      <c r="AF33" s="134">
        <f t="shared" si="15"/>
        <v>0.70210571727856119</v>
      </c>
      <c r="AG33" s="144">
        <f>Données!G17</f>
        <v>0</v>
      </c>
      <c r="AH33" s="145">
        <f>Données!H17</f>
        <v>0</v>
      </c>
    </row>
    <row r="34" spans="1:34" ht="18" customHeight="1" x14ac:dyDescent="0.3">
      <c r="A34" s="146" t="s">
        <v>29</v>
      </c>
      <c r="B34" s="147">
        <f t="shared" ref="B34:K34" si="16">SUM(B22:B33)</f>
        <v>1019</v>
      </c>
      <c r="C34" s="147">
        <f t="shared" si="16"/>
        <v>1043</v>
      </c>
      <c r="D34" s="147">
        <f t="shared" si="16"/>
        <v>1067</v>
      </c>
      <c r="E34" s="147">
        <f t="shared" si="16"/>
        <v>1124</v>
      </c>
      <c r="F34" s="147">
        <f t="shared" si="16"/>
        <v>1117</v>
      </c>
      <c r="G34" s="147">
        <f t="shared" si="16"/>
        <v>1019</v>
      </c>
      <c r="H34" s="147">
        <f t="shared" si="16"/>
        <v>1043</v>
      </c>
      <c r="I34" s="147">
        <f t="shared" si="16"/>
        <v>1067</v>
      </c>
      <c r="J34" s="147">
        <f t="shared" si="16"/>
        <v>1101.7</v>
      </c>
      <c r="K34" s="147">
        <f t="shared" si="16"/>
        <v>1117</v>
      </c>
      <c r="L34" s="148"/>
      <c r="M34" s="148"/>
      <c r="N34" s="148"/>
      <c r="O34" s="148"/>
      <c r="P34" s="148"/>
      <c r="Q34" s="148"/>
      <c r="R34" s="148"/>
      <c r="S34" s="148"/>
      <c r="T34" s="148"/>
      <c r="U34" s="148"/>
      <c r="V34" s="148"/>
      <c r="W34" s="147">
        <f>SUM(W22:W33)</f>
        <v>1136.3878519671082</v>
      </c>
      <c r="X34" s="147">
        <f>SUM(X22:X33)</f>
        <v>1170.8999999999999</v>
      </c>
      <c r="Y34" s="147">
        <f>SUM(Y22:Y33)</f>
        <v>1163.5999999999999</v>
      </c>
      <c r="Z34" s="149">
        <f>SUM(Z22:Z33)</f>
        <v>-27.212148032891591</v>
      </c>
      <c r="AA34" s="147">
        <f>SUM(AA22:AA33)</f>
        <v>1157.3189556856082</v>
      </c>
      <c r="AB34" s="148"/>
      <c r="AC34" s="148"/>
      <c r="AD34" s="148"/>
      <c r="AE34" s="148"/>
      <c r="AF34" s="148"/>
      <c r="AG34" s="148"/>
      <c r="AH34" s="148"/>
    </row>
    <row r="35" spans="1:34" ht="4.95" customHeight="1" x14ac:dyDescent="0.3">
      <c r="A35" s="48"/>
      <c r="B35" s="48"/>
      <c r="C35" s="48"/>
      <c r="D35" s="48"/>
      <c r="E35" s="48"/>
      <c r="F35" s="48"/>
      <c r="G35" s="48"/>
      <c r="H35" s="48"/>
      <c r="I35" s="48"/>
      <c r="J35" s="48"/>
      <c r="K35" s="48"/>
      <c r="L35" s="48"/>
      <c r="M35" s="48"/>
      <c r="N35" s="48"/>
      <c r="O35" s="48"/>
      <c r="P35" s="48"/>
      <c r="Q35" s="48"/>
      <c r="R35" s="48"/>
      <c r="S35" s="48"/>
      <c r="T35" s="48"/>
      <c r="U35" s="48"/>
    </row>
    <row r="36" spans="1:34" ht="16.05" customHeight="1" x14ac:dyDescent="0.3">
      <c r="A36" s="49" t="s">
        <v>82</v>
      </c>
      <c r="B36" s="50">
        <f>SUMPRODUCT(ABS(J22:J33*(J22:J33/I22:I33)-K22:K33)/K22:K33)/12</f>
        <v>1.4199073398998924E-2</v>
      </c>
      <c r="C36" s="381" t="s">
        <v>233</v>
      </c>
      <c r="D36" s="373"/>
      <c r="E36" s="373"/>
      <c r="F36" s="373"/>
      <c r="G36" s="373"/>
      <c r="H36" s="373"/>
      <c r="I36" s="373"/>
      <c r="J36" s="373"/>
      <c r="K36" s="373"/>
      <c r="L36" s="373"/>
      <c r="M36" s="373"/>
      <c r="N36" s="373"/>
      <c r="O36" s="373"/>
      <c r="P36" s="373"/>
      <c r="Q36" s="373"/>
      <c r="R36" s="373"/>
      <c r="S36" s="373"/>
      <c r="T36" s="374"/>
    </row>
    <row r="37" spans="1:34" ht="4.95" customHeight="1" x14ac:dyDescent="0.3">
      <c r="A37" s="48"/>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row>
    <row r="38" spans="1:34" ht="18" customHeight="1" x14ac:dyDescent="0.3">
      <c r="A38" s="401" t="s">
        <v>234</v>
      </c>
      <c r="B38" s="373"/>
      <c r="C38" s="373"/>
      <c r="D38" s="373"/>
      <c r="E38" s="373"/>
      <c r="F38" s="373"/>
      <c r="G38" s="373"/>
      <c r="H38" s="373"/>
      <c r="I38" s="373"/>
      <c r="J38" s="373"/>
      <c r="K38" s="373"/>
      <c r="L38" s="373"/>
      <c r="M38" s="373"/>
      <c r="N38" s="373"/>
      <c r="O38" s="373"/>
      <c r="P38" s="373"/>
      <c r="Q38" s="373"/>
      <c r="R38" s="373"/>
      <c r="S38" s="373"/>
      <c r="T38" s="374"/>
    </row>
    <row r="39" spans="1:34" ht="16.95" customHeight="1" x14ac:dyDescent="0.3">
      <c r="A39" s="106" t="s">
        <v>147</v>
      </c>
      <c r="B39" s="120">
        <f>Données!B21</f>
        <v>49</v>
      </c>
      <c r="C39" s="120">
        <f>Données!C21</f>
        <v>52</v>
      </c>
      <c r="D39" s="120">
        <f>Données!D21</f>
        <v>55</v>
      </c>
      <c r="E39" s="120">
        <f>Données!E21</f>
        <v>58</v>
      </c>
      <c r="F39" s="120">
        <f>Données!F21</f>
        <v>61</v>
      </c>
      <c r="G39" s="120">
        <f>IF(ABS(B39-TREND($B39:$F39,{1,2,3,4,5},1))/ABS(TREND($B39:$F39,{1,2,3,4,5},1))&gt;$B$5,TREND($B39:$F39,{1,2,3,4,5},1),B39)</f>
        <v>49</v>
      </c>
      <c r="H39" s="120">
        <f>IF(ABS(C39-TREND($B39:$F39,{1,2,3,4,5},2))/ABS(TREND($B39:$F39,{1,2,3,4,5},2))&gt;$B$5,TREND($B39:$F39,{1,2,3,4,5},2),C39)</f>
        <v>52</v>
      </c>
      <c r="I39" s="120">
        <f>IF(ABS(D39-TREND($B39:$F39,{1,2,3,4,5},3))/ABS(TREND($B39:$F39,{1,2,3,4,5},3))&gt;$B$5,TREND($B39:$F39,{1,2,3,4,5},3),D39)</f>
        <v>55</v>
      </c>
      <c r="J39" s="120">
        <f>IF(ABS(E39-TREND($B39:$F39,{1,2,3,4,5},4))/ABS(TREND($B39:$F39,{1,2,3,4,5},4))&gt;$B$5,TREND($B39:$F39,{1,2,3,4,5},4),E39)</f>
        <v>58</v>
      </c>
      <c r="K39" s="120">
        <f>IF(ABS(F39-TREND($B39:$F39,{1,2,3,4,5},5))/ABS(TREND($B39:$F39,{1,2,3,4,5},5))&gt;$B$5,TREND($B39:$F39,{1,2,3,4,5},5),F39)</f>
        <v>61</v>
      </c>
      <c r="L39" s="121" t="str">
        <f>IF(AND(ABS(B39-TREND($B39:$F39,{1,2,3,4,5},1))/ABS(TREND($B39:$F39,{1,2,3,4,5},1))&gt;$B$5&lt;=$B$5,ABS(C39-TREND($B39:$F39,{1,2,3,4,5},2))/ABS(TREND($B39:$F39,{1,2,3,4,5},2))&gt;$B$5&lt;=$B$5,ABS(D39-TREND($B39:$F39,{1,2,3,4,5},3))/ABS(TREND($B39:$F39,{1,2,3,4,5},3))&gt;$B$5&lt;=$B$5,ABS(E39-TREND($B39:$F39,{1,2,3,4,5},4))/ABS(TREND($B39:$F39,{1,2,3,4,5},4))&gt;$B$5&lt;=$B$5,ABS(F39-TREND($B39:$F39,{1,2,3,4,5},5))/ABS(TREND($B39:$F39,{1,2,3,4,5},5))&gt;$B$5&lt;=$B$5),"✓",TRIM(IF(ABS(B39-TREND($B39:$F39,{1,2,3,4,5},1))/ABS(TREND($B39:$F39,{1,2,3,4,5},1))&gt;$B$5,"⚠Y-5 ","")&amp;IF(ABS(C39-TREND($B39:$F39,{1,2,3,4,5},2))/ABS(TREND($B39:$F39,{1,2,3,4,5},2))&gt;$B$5,"⚠Y-4 ","")&amp;IF(ABS(D39-TREND($B39:$F39,{1,2,3,4,5},3))/ABS(TREND($B39:$F39,{1,2,3,4,5},3))&gt;$B$5,"⚠Y-3 ","")&amp;IF(ABS(E39-TREND($B39:$F39,{1,2,3,4,5},4))/ABS(TREND($B39:$F39,{1,2,3,4,5},4))&gt;$B$5,"⚠Y-2 ","")&amp;IF(ABS(F39-TREND($B39:$F39,{1,2,3,4,5},5))/ABS(TREND($B39:$F39,{1,2,3,4,5},5))&gt;$B$5,"⚠Y-1 ","")))</f>
        <v/>
      </c>
      <c r="M39" s="122">
        <f t="shared" ref="M39:M50" si="17">G39/AVERAGE($G$39:$G$50)</f>
        <v>0.76264591439688711</v>
      </c>
      <c r="N39" s="122">
        <f t="shared" ref="N39:N50" si="18">H39/AVERAGE($H$39:$H$50)</f>
        <v>0.7665847665847666</v>
      </c>
      <c r="O39" s="122">
        <f t="shared" ref="O39:O50" si="19">I39/AVERAGE($I$39:$I$50)</f>
        <v>0.76583894174982603</v>
      </c>
      <c r="P39" s="122">
        <f t="shared" ref="P39:P50" si="20">J39/AVERAGE($J$39:$J$50)</f>
        <v>0.76677316293929709</v>
      </c>
      <c r="Q39" s="122">
        <f t="shared" ref="Q39:Q50" si="21">K39/AVERAGE($K$39:$K$50)</f>
        <v>0.76521011917206772</v>
      </c>
      <c r="R39" s="123">
        <f t="shared" ref="R39:R50" si="22">$B$8*M39+$B$9*N39+$B$10*O39+$B$11*P39+$B$12*Q39</f>
        <v>0.76562630581468816</v>
      </c>
      <c r="S39" s="124" t="str">
        <f t="shared" ref="S39:S50" si="23">IF(R39&lt;$B$6,"SB",IF(R39&gt;$B$7,"SH","NS"))</f>
        <v>NS</v>
      </c>
      <c r="T39" s="125" t="str">
        <f t="shared" ref="T39:T50" si="24">IF(SUMPRODUCT(--(M39:Q39&gt;$B$7))&gt;2.5,"SH",IF(SUMPRODUCT(--(M39:Q39&lt;$B$6))&gt;2.5,"SB","NS"))</f>
        <v>NS</v>
      </c>
      <c r="U39" s="369" t="s">
        <v>231</v>
      </c>
      <c r="V39" s="126">
        <v>5.1020408163265319E-3</v>
      </c>
      <c r="W39" s="127">
        <f t="shared" ref="W39:W50" si="25">K39*(1+V39)*(1+AG39*AH39)</f>
        <v>61.311224489795919</v>
      </c>
      <c r="X39" s="128">
        <v>64.099999999999994</v>
      </c>
      <c r="Y39" s="129">
        <v>63.8</v>
      </c>
      <c r="Z39" s="130">
        <f t="shared" ref="Z39:Z50" si="26">W39-Y39</f>
        <v>-2.4887755102040785</v>
      </c>
      <c r="AA39" s="131">
        <f t="shared" ref="AA39:AA50" si="27">K39*($B$14*K39/J39+$B$15*J39/I39)*(1+AG39*AH39)</f>
        <v>64.206802507836997</v>
      </c>
      <c r="AB39" s="132" t="str">
        <f t="shared" ref="AB39:AB50" si="28">IF(SIGN(K39/J39-1)&lt;&gt;SIGN(J39/I39-1),"⚠ retournement",IF(ABS(K39/J39-J39/I39)&gt;$B$16,"⚡ accél.",""))</f>
        <v/>
      </c>
      <c r="AC39" s="133">
        <f t="shared" ref="AC39:AC50" si="29">IFERROR(SUMPRODUCT(($T$39:$T$50=T39)*(($K$39:$K$50/$G$39:$G$50-1)/48))/COUNTIF($T$39:$T$50,T39),0)</f>
        <v>5.1020408163265319E-3</v>
      </c>
      <c r="AD39" s="133">
        <f t="shared" ref="AD39:AD50" si="30">IFERROR(SUMPRODUCT(($T$39:$T$50=T39)*(($K$39:$K$50/$J$39:$J$50-1)/12))/COUNTIF($T$39:$T$50,T39),0)</f>
        <v>4.310344827586206E-3</v>
      </c>
      <c r="AE39" s="133">
        <f t="shared" ref="AE39:AE50" si="31">IFERROR(IF(SUMPRODUCT(($T$39:$T$50=T39)*(ROW($T$39:$T$50)-ROW($T$39)+1&gt;9))&gt;0,SUMPRODUCT(($T$39:$T$50=T39)*(ROW($T$39:$T$50)-ROW($T$39)+1&gt;9)*(($K$39:$K$50/$J$39:$J$50-1)/12))/SUMPRODUCT(($T$39:$T$50=T39)*(ROW($T$39:$T$50)-ROW($T$39)+1&gt;9)),AD39),AD39)</f>
        <v>4.310344827586206E-3</v>
      </c>
      <c r="AF39" s="134">
        <f t="shared" ref="AF39:AF50" si="32">MIN($J$9,$B$14+($J$9-$B$14)*MIN(1,IFERROR(ABS(AC39-AD39)/$J$8,1)))</f>
        <v>0.71187543983110479</v>
      </c>
      <c r="AG39" s="135">
        <f>Données!G21</f>
        <v>0</v>
      </c>
      <c r="AH39" s="136">
        <f>Données!H21</f>
        <v>0</v>
      </c>
    </row>
    <row r="40" spans="1:34" ht="16.95" customHeight="1" x14ac:dyDescent="0.3">
      <c r="A40" s="110" t="s">
        <v>148</v>
      </c>
      <c r="B40" s="137">
        <f>Données!B22</f>
        <v>31</v>
      </c>
      <c r="C40" s="137">
        <f>Données!C22</f>
        <v>33</v>
      </c>
      <c r="D40" s="137">
        <f>Données!D22</f>
        <v>35</v>
      </c>
      <c r="E40" s="137">
        <f>Données!E22</f>
        <v>37</v>
      </c>
      <c r="F40" s="137">
        <f>Données!F22</f>
        <v>39</v>
      </c>
      <c r="G40" s="137">
        <f>IF(ABS(B40-TREND($B40:$F40,{1,2,3,4,5},1))/ABS(TREND($B40:$F40,{1,2,3,4,5},1))&gt;$B$5,TREND($B40:$F40,{1,2,3,4,5},1),B40)</f>
        <v>31</v>
      </c>
      <c r="H40" s="137">
        <f>IF(ABS(C40-TREND($B40:$F40,{1,2,3,4,5},2))/ABS(TREND($B40:$F40,{1,2,3,4,5},2))&gt;$B$5,TREND($B40:$F40,{1,2,3,4,5},2),C40)</f>
        <v>33</v>
      </c>
      <c r="I40" s="137">
        <f>IF(ABS(D40-TREND($B40:$F40,{1,2,3,4,5},3))/ABS(TREND($B40:$F40,{1,2,3,4,5},3))&gt;$B$5,TREND($B40:$F40,{1,2,3,4,5},3),D40)</f>
        <v>35</v>
      </c>
      <c r="J40" s="137">
        <f>IF(ABS(E40-TREND($B40:$F40,{1,2,3,4,5},4))/ABS(TREND($B40:$F40,{1,2,3,4,5},4))&gt;$B$5,TREND($B40:$F40,{1,2,3,4,5},4),E40)</f>
        <v>37</v>
      </c>
      <c r="K40" s="137">
        <f>IF(ABS(F40-TREND($B40:$F40,{1,2,3,4,5},5))/ABS(TREND($B40:$F40,{1,2,3,4,5},5))&gt;$B$5,TREND($B40:$F40,{1,2,3,4,5},5),F40)</f>
        <v>39</v>
      </c>
      <c r="L40" s="138" t="str">
        <f>IF(AND(ABS(B40-TREND($B40:$F40,{1,2,3,4,5},1))/ABS(TREND($B40:$F40,{1,2,3,4,5},1))&gt;$B$5&lt;=$B$5,ABS(C40-TREND($B40:$F40,{1,2,3,4,5},2))/ABS(TREND($B40:$F40,{1,2,3,4,5},2))&gt;$B$5&lt;=$B$5,ABS(D40-TREND($B40:$F40,{1,2,3,4,5},3))/ABS(TREND($B40:$F40,{1,2,3,4,5},3))&gt;$B$5&lt;=$B$5,ABS(E40-TREND($B40:$F40,{1,2,3,4,5},4))/ABS(TREND($B40:$F40,{1,2,3,4,5},4))&gt;$B$5&lt;=$B$5,ABS(F40-TREND($B40:$F40,{1,2,3,4,5},5))/ABS(TREND($B40:$F40,{1,2,3,4,5},5))&gt;$B$5&lt;=$B$5),"✓",TRIM(IF(ABS(B40-TREND($B40:$F40,{1,2,3,4,5},1))/ABS(TREND($B40:$F40,{1,2,3,4,5},1))&gt;$B$5,"⚠Y-5 ","")&amp;IF(ABS(C40-TREND($B40:$F40,{1,2,3,4,5},2))/ABS(TREND($B40:$F40,{1,2,3,4,5},2))&gt;$B$5,"⚠Y-4 ","")&amp;IF(ABS(D40-TREND($B40:$F40,{1,2,3,4,5},3))/ABS(TREND($B40:$F40,{1,2,3,4,5},3))&gt;$B$5,"⚠Y-3 ","")&amp;IF(ABS(E40-TREND($B40:$F40,{1,2,3,4,5},4))/ABS(TREND($B40:$F40,{1,2,3,4,5},4))&gt;$B$5,"⚠Y-2 ","")&amp;IF(ABS(F40-TREND($B40:$F40,{1,2,3,4,5},5))/ABS(TREND($B40:$F40,{1,2,3,4,5},5))&gt;$B$5,"⚠Y-1 ","")))</f>
        <v/>
      </c>
      <c r="M40" s="139">
        <f t="shared" si="17"/>
        <v>0.48249027237354086</v>
      </c>
      <c r="N40" s="139">
        <f t="shared" si="18"/>
        <v>0.48648648648648651</v>
      </c>
      <c r="O40" s="139">
        <f t="shared" si="19"/>
        <v>0.48735205384079833</v>
      </c>
      <c r="P40" s="139">
        <f t="shared" si="20"/>
        <v>0.48914839704748264</v>
      </c>
      <c r="Q40" s="139">
        <f t="shared" si="21"/>
        <v>0.48923269914279738</v>
      </c>
      <c r="R40" s="123">
        <f t="shared" si="22"/>
        <v>0.48832199932434062</v>
      </c>
      <c r="S40" s="124" t="str">
        <f t="shared" si="23"/>
        <v>SB</v>
      </c>
      <c r="T40" s="125" t="str">
        <f t="shared" si="24"/>
        <v>SB</v>
      </c>
      <c r="U40" s="369" t="s">
        <v>231</v>
      </c>
      <c r="V40" s="126">
        <v>6.2071381166159531E-3</v>
      </c>
      <c r="W40" s="127">
        <f t="shared" si="25"/>
        <v>39.242078386548023</v>
      </c>
      <c r="X40" s="140">
        <v>41.1</v>
      </c>
      <c r="Y40" s="141">
        <v>40.700000000000003</v>
      </c>
      <c r="Z40" s="142">
        <f t="shared" si="26"/>
        <v>-1.4579216134519797</v>
      </c>
      <c r="AA40" s="131">
        <f t="shared" si="27"/>
        <v>41.1442471042471</v>
      </c>
      <c r="AB40" s="143" t="str">
        <f t="shared" si="28"/>
        <v/>
      </c>
      <c r="AC40" s="133">
        <f t="shared" si="29"/>
        <v>6.2071381166159531E-3</v>
      </c>
      <c r="AD40" s="133">
        <f t="shared" si="30"/>
        <v>5.106356651310302E-3</v>
      </c>
      <c r="AE40" s="133">
        <f t="shared" si="31"/>
        <v>5.106356651310302E-3</v>
      </c>
      <c r="AF40" s="134">
        <f t="shared" si="32"/>
        <v>0.71651172197958468</v>
      </c>
      <c r="AG40" s="144">
        <f>Données!G22</f>
        <v>0</v>
      </c>
      <c r="AH40" s="145">
        <f>Données!H22</f>
        <v>0</v>
      </c>
    </row>
    <row r="41" spans="1:34" ht="16.95" customHeight="1" x14ac:dyDescent="0.3">
      <c r="A41" s="106" t="s">
        <v>149</v>
      </c>
      <c r="B41" s="120">
        <f>Données!B23</f>
        <v>23</v>
      </c>
      <c r="C41" s="120">
        <f>Données!C23</f>
        <v>24</v>
      </c>
      <c r="D41" s="120">
        <f>Données!D23</f>
        <v>25</v>
      </c>
      <c r="E41" s="120">
        <f>Données!E23</f>
        <v>26</v>
      </c>
      <c r="F41" s="120">
        <f>Données!F23</f>
        <v>27</v>
      </c>
      <c r="G41" s="120">
        <f>IF(ABS(B41-TREND($B41:$F41,{1,2,3,4,5},1))/ABS(TREND($B41:$F41,{1,2,3,4,5},1))&gt;$B$5,TREND($B41:$F41,{1,2,3,4,5},1),B41)</f>
        <v>23</v>
      </c>
      <c r="H41" s="120">
        <f>IF(ABS(C41-TREND($B41:$F41,{1,2,3,4,5},2))/ABS(TREND($B41:$F41,{1,2,3,4,5},2))&gt;$B$5,TREND($B41:$F41,{1,2,3,4,5},2),C41)</f>
        <v>24</v>
      </c>
      <c r="I41" s="120">
        <f>IF(ABS(D41-TREND($B41:$F41,{1,2,3,4,5},3))/ABS(TREND($B41:$F41,{1,2,3,4,5},3))&gt;$B$5,TREND($B41:$F41,{1,2,3,4,5},3),D41)</f>
        <v>25</v>
      </c>
      <c r="J41" s="120">
        <f>IF(ABS(E41-TREND($B41:$F41,{1,2,3,4,5},4))/ABS(TREND($B41:$F41,{1,2,3,4,5},4))&gt;$B$5,TREND($B41:$F41,{1,2,3,4,5},4),E41)</f>
        <v>26</v>
      </c>
      <c r="K41" s="120">
        <f>IF(ABS(F41-TREND($B41:$F41,{1,2,3,4,5},5))/ABS(TREND($B41:$F41,{1,2,3,4,5},5))&gt;$B$5,TREND($B41:$F41,{1,2,3,4,5},5),F41)</f>
        <v>27</v>
      </c>
      <c r="L41" s="121" t="str">
        <f>IF(AND(ABS(B41-TREND($B41:$F41,{1,2,3,4,5},1))/ABS(TREND($B41:$F41,{1,2,3,4,5},1))&gt;$B$5&lt;=$B$5,ABS(C41-TREND($B41:$F41,{1,2,3,4,5},2))/ABS(TREND($B41:$F41,{1,2,3,4,5},2))&gt;$B$5&lt;=$B$5,ABS(D41-TREND($B41:$F41,{1,2,3,4,5},3))/ABS(TREND($B41:$F41,{1,2,3,4,5},3))&gt;$B$5&lt;=$B$5,ABS(E41-TREND($B41:$F41,{1,2,3,4,5},4))/ABS(TREND($B41:$F41,{1,2,3,4,5},4))&gt;$B$5&lt;=$B$5,ABS(F41-TREND($B41:$F41,{1,2,3,4,5},5))/ABS(TREND($B41:$F41,{1,2,3,4,5},5))&gt;$B$5&lt;=$B$5),"✓",TRIM(IF(ABS(B41-TREND($B41:$F41,{1,2,3,4,5},1))/ABS(TREND($B41:$F41,{1,2,3,4,5},1))&gt;$B$5,"⚠Y-5 ","")&amp;IF(ABS(C41-TREND($B41:$F41,{1,2,3,4,5},2))/ABS(TREND($B41:$F41,{1,2,3,4,5},2))&gt;$B$5,"⚠Y-4 ","")&amp;IF(ABS(D41-TREND($B41:$F41,{1,2,3,4,5},3))/ABS(TREND($B41:$F41,{1,2,3,4,5},3))&gt;$B$5,"⚠Y-3 ","")&amp;IF(ABS(E41-TREND($B41:$F41,{1,2,3,4,5},4))/ABS(TREND($B41:$F41,{1,2,3,4,5},4))&gt;$B$5,"⚠Y-2 ","")&amp;IF(ABS(F41-TREND($B41:$F41,{1,2,3,4,5},5))/ABS(TREND($B41:$F41,{1,2,3,4,5},5))&gt;$B$5,"⚠Y-1 ","")))</f>
        <v/>
      </c>
      <c r="M41" s="122">
        <f t="shared" si="17"/>
        <v>0.35797665369649806</v>
      </c>
      <c r="N41" s="122">
        <f t="shared" si="18"/>
        <v>0.35380835380835385</v>
      </c>
      <c r="O41" s="122">
        <f t="shared" si="19"/>
        <v>0.34810860988628456</v>
      </c>
      <c r="P41" s="122">
        <f t="shared" si="20"/>
        <v>0.34372590062796077</v>
      </c>
      <c r="Q41" s="122">
        <f t="shared" si="21"/>
        <v>0.33869956094501358</v>
      </c>
      <c r="R41" s="123">
        <f t="shared" si="22"/>
        <v>0.34359092014670189</v>
      </c>
      <c r="S41" s="124" t="str">
        <f t="shared" si="23"/>
        <v>SB</v>
      </c>
      <c r="T41" s="125" t="str">
        <f t="shared" si="24"/>
        <v>SB</v>
      </c>
      <c r="U41" s="369" t="s">
        <v>231</v>
      </c>
      <c r="V41" s="126">
        <v>6.2071381166159531E-3</v>
      </c>
      <c r="W41" s="127">
        <f t="shared" si="25"/>
        <v>27.16759272914863</v>
      </c>
      <c r="X41" s="128">
        <v>28.2</v>
      </c>
      <c r="Y41" s="129">
        <v>28.5</v>
      </c>
      <c r="Z41" s="130">
        <f t="shared" si="26"/>
        <v>-1.3324072708513697</v>
      </c>
      <c r="AA41" s="131">
        <f t="shared" si="27"/>
        <v>28.050923076923073</v>
      </c>
      <c r="AB41" s="132" t="str">
        <f t="shared" si="28"/>
        <v/>
      </c>
      <c r="AC41" s="133">
        <f t="shared" si="29"/>
        <v>6.2071381166159531E-3</v>
      </c>
      <c r="AD41" s="133">
        <f t="shared" si="30"/>
        <v>5.106356651310302E-3</v>
      </c>
      <c r="AE41" s="133">
        <f t="shared" si="31"/>
        <v>5.106356651310302E-3</v>
      </c>
      <c r="AF41" s="134">
        <f t="shared" si="32"/>
        <v>0.71651172197958468</v>
      </c>
      <c r="AG41" s="135">
        <f>Données!G23</f>
        <v>0</v>
      </c>
      <c r="AH41" s="136">
        <f>Données!H23</f>
        <v>0</v>
      </c>
    </row>
    <row r="42" spans="1:34" ht="16.95" customHeight="1" x14ac:dyDescent="0.3">
      <c r="A42" s="110" t="s">
        <v>150</v>
      </c>
      <c r="B42" s="137">
        <f>Données!B24</f>
        <v>18</v>
      </c>
      <c r="C42" s="137">
        <f>Données!C24</f>
        <v>19</v>
      </c>
      <c r="D42" s="137">
        <f>Données!D24</f>
        <v>20</v>
      </c>
      <c r="E42" s="137">
        <f>Données!E24</f>
        <v>40</v>
      </c>
      <c r="F42" s="137">
        <f>Données!F24</f>
        <v>22</v>
      </c>
      <c r="G42" s="137">
        <f>IF(ABS(B42-TREND($B42:$F42,{1,2,3,4,5},1))/ABS(TREND($B42:$F42,{1,2,3,4,5},1))&gt;$B$5,TREND($B42:$F42,{1,2,3,4,5},1),B42)</f>
        <v>18</v>
      </c>
      <c r="H42" s="137">
        <f>IF(ABS(C42-TREND($B42:$F42,{1,2,3,4,5},2))/ABS(TREND($B42:$F42,{1,2,3,4,5},2))&gt;$B$5,TREND($B42:$F42,{1,2,3,4,5},2),C42)</f>
        <v>19</v>
      </c>
      <c r="I42" s="137">
        <f>IF(ABS(D42-TREND($B42:$F42,{1,2,3,4,5},3))/ABS(TREND($B42:$F42,{1,2,3,4,5},3))&gt;$B$5,TREND($B42:$F42,{1,2,3,4,5},3),D42)</f>
        <v>23.8</v>
      </c>
      <c r="J42" s="137">
        <f>IF(ABS(E42-TREND($B42:$F42,{1,2,3,4,5},4))/ABS(TREND($B42:$F42,{1,2,3,4,5},4))&gt;$B$5,TREND($B42:$F42,{1,2,3,4,5},4),E42)</f>
        <v>26.7</v>
      </c>
      <c r="K42" s="137">
        <f>IF(ABS(F42-TREND($B42:$F42,{1,2,3,4,5},5))/ABS(TREND($B42:$F42,{1,2,3,4,5},5))&gt;$B$5,TREND($B42:$F42,{1,2,3,4,5},5),F42)</f>
        <v>29.599999999999998</v>
      </c>
      <c r="L42" s="138" t="str">
        <f>IF(AND(ABS(B42-TREND($B42:$F42,{1,2,3,4,5},1))/ABS(TREND($B42:$F42,{1,2,3,4,5},1))&gt;$B$5&lt;=$B$5,ABS(C42-TREND($B42:$F42,{1,2,3,4,5},2))/ABS(TREND($B42:$F42,{1,2,3,4,5},2))&gt;$B$5&lt;=$B$5,ABS(D42-TREND($B42:$F42,{1,2,3,4,5},3))/ABS(TREND($B42:$F42,{1,2,3,4,5},3))&gt;$B$5&lt;=$B$5,ABS(E42-TREND($B42:$F42,{1,2,3,4,5},4))/ABS(TREND($B42:$F42,{1,2,3,4,5},4))&gt;$B$5&lt;=$B$5,ABS(F42-TREND($B42:$F42,{1,2,3,4,5},5))/ABS(TREND($B42:$F42,{1,2,3,4,5},5))&gt;$B$5&lt;=$B$5),"✓",TRIM(IF(ABS(B42-TREND($B42:$F42,{1,2,3,4,5},1))/ABS(TREND($B42:$F42,{1,2,3,4,5},1))&gt;$B$5,"⚠Y-5 ","")&amp;IF(ABS(C42-TREND($B42:$F42,{1,2,3,4,5},2))/ABS(TREND($B42:$F42,{1,2,3,4,5},2))&gt;$B$5,"⚠Y-4 ","")&amp;IF(ABS(D42-TREND($B42:$F42,{1,2,3,4,5},3))/ABS(TREND($B42:$F42,{1,2,3,4,5},3))&gt;$B$5,"⚠Y-3 ","")&amp;IF(ABS(E42-TREND($B42:$F42,{1,2,3,4,5},4))/ABS(TREND($B42:$F42,{1,2,3,4,5},4))&gt;$B$5,"⚠Y-2 ","")&amp;IF(ABS(F42-TREND($B42:$F42,{1,2,3,4,5},5))/ABS(TREND($B42:$F42,{1,2,3,4,5},5))&gt;$B$5,"⚠Y-1 ","")))</f>
        <v>⚠Y-3 ⚠Y-2 ⚠Y-1</v>
      </c>
      <c r="M42" s="139">
        <f t="shared" si="17"/>
        <v>0.28015564202334631</v>
      </c>
      <c r="N42" s="139">
        <f t="shared" si="18"/>
        <v>0.28009828009828014</v>
      </c>
      <c r="O42" s="139">
        <f t="shared" si="19"/>
        <v>0.33139939661174289</v>
      </c>
      <c r="P42" s="139">
        <f t="shared" si="20"/>
        <v>0.35298005949102124</v>
      </c>
      <c r="Q42" s="139">
        <f t="shared" si="21"/>
        <v>0.37131507422120003</v>
      </c>
      <c r="R42" s="123">
        <f t="shared" si="22"/>
        <v>0.34798106861156103</v>
      </c>
      <c r="S42" s="124" t="str">
        <f t="shared" si="23"/>
        <v>SB</v>
      </c>
      <c r="T42" s="125" t="str">
        <f t="shared" si="24"/>
        <v>SB</v>
      </c>
      <c r="U42" s="369" t="s">
        <v>231</v>
      </c>
      <c r="V42" s="126">
        <v>6.2071381166159531E-3</v>
      </c>
      <c r="W42" s="127">
        <f t="shared" si="25"/>
        <v>29.783731288251833</v>
      </c>
      <c r="X42" s="140">
        <v>26.3</v>
      </c>
      <c r="Y42" s="141">
        <v>30</v>
      </c>
      <c r="Z42" s="142">
        <f t="shared" si="26"/>
        <v>-0.21626871174816742</v>
      </c>
      <c r="AA42" s="131">
        <f t="shared" si="27"/>
        <v>32.932503698108455</v>
      </c>
      <c r="AB42" s="143" t="str">
        <f t="shared" si="28"/>
        <v/>
      </c>
      <c r="AC42" s="133">
        <f t="shared" si="29"/>
        <v>6.2071381166159531E-3</v>
      </c>
      <c r="AD42" s="133">
        <f t="shared" si="30"/>
        <v>5.106356651310302E-3</v>
      </c>
      <c r="AE42" s="133">
        <f t="shared" si="31"/>
        <v>5.106356651310302E-3</v>
      </c>
      <c r="AF42" s="134">
        <f t="shared" si="32"/>
        <v>0.71651172197958468</v>
      </c>
      <c r="AG42" s="144">
        <f>Données!G24</f>
        <v>0</v>
      </c>
      <c r="AH42" s="145">
        <f>Données!H24</f>
        <v>0</v>
      </c>
    </row>
    <row r="43" spans="1:34" ht="16.95" customHeight="1" x14ac:dyDescent="0.3">
      <c r="A43" s="106" t="s">
        <v>151</v>
      </c>
      <c r="B43" s="120">
        <f>Données!B25</f>
        <v>16</v>
      </c>
      <c r="C43" s="120">
        <f>Données!C25</f>
        <v>17</v>
      </c>
      <c r="D43" s="120">
        <f>Données!D25</f>
        <v>18</v>
      </c>
      <c r="E43" s="120">
        <f>Données!E25</f>
        <v>19</v>
      </c>
      <c r="F43" s="120">
        <f>Données!F25</f>
        <v>20</v>
      </c>
      <c r="G43" s="120">
        <f>IF(ABS(B43-TREND($B43:$F43,{1,2,3,4,5},1))/ABS(TREND($B43:$F43,{1,2,3,4,5},1))&gt;$B$5,TREND($B43:$F43,{1,2,3,4,5},1),B43)</f>
        <v>16</v>
      </c>
      <c r="H43" s="120">
        <f>IF(ABS(C43-TREND($B43:$F43,{1,2,3,4,5},2))/ABS(TREND($B43:$F43,{1,2,3,4,5},2))&gt;$B$5,TREND($B43:$F43,{1,2,3,4,5},2),C43)</f>
        <v>17</v>
      </c>
      <c r="I43" s="120">
        <f>IF(ABS(D43-TREND($B43:$F43,{1,2,3,4,5},3))/ABS(TREND($B43:$F43,{1,2,3,4,5},3))&gt;$B$5,TREND($B43:$F43,{1,2,3,4,5},3),D43)</f>
        <v>18</v>
      </c>
      <c r="J43" s="120">
        <f>IF(ABS(E43-TREND($B43:$F43,{1,2,3,4,5},4))/ABS(TREND($B43:$F43,{1,2,3,4,5},4))&gt;$B$5,TREND($B43:$F43,{1,2,3,4,5},4),E43)</f>
        <v>19</v>
      </c>
      <c r="K43" s="120">
        <f>IF(ABS(F43-TREND($B43:$F43,{1,2,3,4,5},5))/ABS(TREND($B43:$F43,{1,2,3,4,5},5))&gt;$B$5,TREND($B43:$F43,{1,2,3,4,5},5),F43)</f>
        <v>20</v>
      </c>
      <c r="L43" s="121" t="str">
        <f>IF(AND(ABS(B43-TREND($B43:$F43,{1,2,3,4,5},1))/ABS(TREND($B43:$F43,{1,2,3,4,5},1))&gt;$B$5&lt;=$B$5,ABS(C43-TREND($B43:$F43,{1,2,3,4,5},2))/ABS(TREND($B43:$F43,{1,2,3,4,5},2))&gt;$B$5&lt;=$B$5,ABS(D43-TREND($B43:$F43,{1,2,3,4,5},3))/ABS(TREND($B43:$F43,{1,2,3,4,5},3))&gt;$B$5&lt;=$B$5,ABS(E43-TREND($B43:$F43,{1,2,3,4,5},4))/ABS(TREND($B43:$F43,{1,2,3,4,5},4))&gt;$B$5&lt;=$B$5,ABS(F43-TREND($B43:$F43,{1,2,3,4,5},5))/ABS(TREND($B43:$F43,{1,2,3,4,5},5))&gt;$B$5&lt;=$B$5),"✓",TRIM(IF(ABS(B43-TREND($B43:$F43,{1,2,3,4,5},1))/ABS(TREND($B43:$F43,{1,2,3,4,5},1))&gt;$B$5,"⚠Y-5 ","")&amp;IF(ABS(C43-TREND($B43:$F43,{1,2,3,4,5},2))/ABS(TREND($B43:$F43,{1,2,3,4,5},2))&gt;$B$5,"⚠Y-4 ","")&amp;IF(ABS(D43-TREND($B43:$F43,{1,2,3,4,5},3))/ABS(TREND($B43:$F43,{1,2,3,4,5},3))&gt;$B$5,"⚠Y-3 ","")&amp;IF(ABS(E43-TREND($B43:$F43,{1,2,3,4,5},4))/ABS(TREND($B43:$F43,{1,2,3,4,5},4))&gt;$B$5,"⚠Y-2 ","")&amp;IF(ABS(F43-TREND($B43:$F43,{1,2,3,4,5},5))/ABS(TREND($B43:$F43,{1,2,3,4,5},5))&gt;$B$5,"⚠Y-1 ","")))</f>
        <v/>
      </c>
      <c r="M43" s="122">
        <f t="shared" si="17"/>
        <v>0.24902723735408561</v>
      </c>
      <c r="N43" s="122">
        <f t="shared" si="18"/>
        <v>0.25061425061425063</v>
      </c>
      <c r="O43" s="122">
        <f t="shared" si="19"/>
        <v>0.25063819911812485</v>
      </c>
      <c r="P43" s="122">
        <f t="shared" si="20"/>
        <v>0.25118431199735597</v>
      </c>
      <c r="Q43" s="122">
        <f t="shared" si="21"/>
        <v>0.25088856366297302</v>
      </c>
      <c r="R43" s="123">
        <f t="shared" si="22"/>
        <v>0.25078966102780575</v>
      </c>
      <c r="S43" s="124" t="str">
        <f t="shared" si="23"/>
        <v>SB</v>
      </c>
      <c r="T43" s="125" t="str">
        <f t="shared" si="24"/>
        <v>SB</v>
      </c>
      <c r="U43" s="369" t="s">
        <v>231</v>
      </c>
      <c r="V43" s="126">
        <v>6.2071381166159531E-3</v>
      </c>
      <c r="W43" s="127">
        <f t="shared" si="25"/>
        <v>20.124142762332319</v>
      </c>
      <c r="X43" s="128">
        <v>21</v>
      </c>
      <c r="Y43" s="129">
        <v>20.9</v>
      </c>
      <c r="Z43" s="130">
        <f t="shared" si="26"/>
        <v>-0.77585723766767956</v>
      </c>
      <c r="AA43" s="131">
        <f t="shared" si="27"/>
        <v>21.070175438596493</v>
      </c>
      <c r="AB43" s="132" t="str">
        <f t="shared" si="28"/>
        <v/>
      </c>
      <c r="AC43" s="133">
        <f t="shared" si="29"/>
        <v>6.2071381166159531E-3</v>
      </c>
      <c r="AD43" s="133">
        <f t="shared" si="30"/>
        <v>5.106356651310302E-3</v>
      </c>
      <c r="AE43" s="133">
        <f t="shared" si="31"/>
        <v>5.106356651310302E-3</v>
      </c>
      <c r="AF43" s="134">
        <f t="shared" si="32"/>
        <v>0.71651172197958468</v>
      </c>
      <c r="AG43" s="135">
        <f>Données!G25</f>
        <v>0</v>
      </c>
      <c r="AH43" s="136">
        <f>Données!H25</f>
        <v>0</v>
      </c>
    </row>
    <row r="44" spans="1:34" ht="16.95" customHeight="1" x14ac:dyDescent="0.3">
      <c r="A44" s="110" t="s">
        <v>152</v>
      </c>
      <c r="B44" s="137">
        <f>Données!B26</f>
        <v>13</v>
      </c>
      <c r="C44" s="137">
        <f>Données!C26</f>
        <v>14</v>
      </c>
      <c r="D44" s="137">
        <f>Données!D26</f>
        <v>15</v>
      </c>
      <c r="E44" s="137">
        <f>Données!E26</f>
        <v>16</v>
      </c>
      <c r="F44" s="137">
        <f>Données!F26</f>
        <v>17</v>
      </c>
      <c r="G44" s="137">
        <f>IF(ABS(B44-TREND($B44:$F44,{1,2,3,4,5},1))/ABS(TREND($B44:$F44,{1,2,3,4,5},1))&gt;$B$5,TREND($B44:$F44,{1,2,3,4,5},1),B44)</f>
        <v>13</v>
      </c>
      <c r="H44" s="137">
        <f>IF(ABS(C44-TREND($B44:$F44,{1,2,3,4,5},2))/ABS(TREND($B44:$F44,{1,2,3,4,5},2))&gt;$B$5,TREND($B44:$F44,{1,2,3,4,5},2),C44)</f>
        <v>14</v>
      </c>
      <c r="I44" s="137">
        <f>IF(ABS(D44-TREND($B44:$F44,{1,2,3,4,5},3))/ABS(TREND($B44:$F44,{1,2,3,4,5},3))&gt;$B$5,TREND($B44:$F44,{1,2,3,4,5},3),D44)</f>
        <v>15</v>
      </c>
      <c r="J44" s="137">
        <f>IF(ABS(E44-TREND($B44:$F44,{1,2,3,4,5},4))/ABS(TREND($B44:$F44,{1,2,3,4,5},4))&gt;$B$5,TREND($B44:$F44,{1,2,3,4,5},4),E44)</f>
        <v>16</v>
      </c>
      <c r="K44" s="137">
        <f>IF(ABS(F44-TREND($B44:$F44,{1,2,3,4,5},5))/ABS(TREND($B44:$F44,{1,2,3,4,5},5))&gt;$B$5,TREND($B44:$F44,{1,2,3,4,5},5),F44)</f>
        <v>17</v>
      </c>
      <c r="L44" s="138" t="str">
        <f>IF(AND(ABS(B44-TREND($B44:$F44,{1,2,3,4,5},1))/ABS(TREND($B44:$F44,{1,2,3,4,5},1))&gt;$B$5&lt;=$B$5,ABS(C44-TREND($B44:$F44,{1,2,3,4,5},2))/ABS(TREND($B44:$F44,{1,2,3,4,5},2))&gt;$B$5&lt;=$B$5,ABS(D44-TREND($B44:$F44,{1,2,3,4,5},3))/ABS(TREND($B44:$F44,{1,2,3,4,5},3))&gt;$B$5&lt;=$B$5,ABS(E44-TREND($B44:$F44,{1,2,3,4,5},4))/ABS(TREND($B44:$F44,{1,2,3,4,5},4))&gt;$B$5&lt;=$B$5,ABS(F44-TREND($B44:$F44,{1,2,3,4,5},5))/ABS(TREND($B44:$F44,{1,2,3,4,5},5))&gt;$B$5&lt;=$B$5),"✓",TRIM(IF(ABS(B44-TREND($B44:$F44,{1,2,3,4,5},1))/ABS(TREND($B44:$F44,{1,2,3,4,5},1))&gt;$B$5,"⚠Y-5 ","")&amp;IF(ABS(C44-TREND($B44:$F44,{1,2,3,4,5},2))/ABS(TREND($B44:$F44,{1,2,3,4,5},2))&gt;$B$5,"⚠Y-4 ","")&amp;IF(ABS(D44-TREND($B44:$F44,{1,2,3,4,5},3))/ABS(TREND($B44:$F44,{1,2,3,4,5},3))&gt;$B$5,"⚠Y-3 ","")&amp;IF(ABS(E44-TREND($B44:$F44,{1,2,3,4,5},4))/ABS(TREND($B44:$F44,{1,2,3,4,5},4))&gt;$B$5,"⚠Y-2 ","")&amp;IF(ABS(F44-TREND($B44:$F44,{1,2,3,4,5},5))/ABS(TREND($B44:$F44,{1,2,3,4,5},5))&gt;$B$5,"⚠Y-1 ","")))</f>
        <v/>
      </c>
      <c r="M44" s="139">
        <f t="shared" si="17"/>
        <v>0.20233463035019456</v>
      </c>
      <c r="N44" s="139">
        <f t="shared" si="18"/>
        <v>0.2063882063882064</v>
      </c>
      <c r="O44" s="139">
        <f t="shared" si="19"/>
        <v>0.20886516593177074</v>
      </c>
      <c r="P44" s="139">
        <f t="shared" si="20"/>
        <v>0.21152363115566816</v>
      </c>
      <c r="Q44" s="139">
        <f t="shared" si="21"/>
        <v>0.21325527911352707</v>
      </c>
      <c r="R44" s="123">
        <f t="shared" si="22"/>
        <v>0.21101769283399313</v>
      </c>
      <c r="S44" s="124" t="str">
        <f t="shared" si="23"/>
        <v>SB</v>
      </c>
      <c r="T44" s="125" t="str">
        <f t="shared" si="24"/>
        <v>SB</v>
      </c>
      <c r="U44" s="369" t="s">
        <v>231</v>
      </c>
      <c r="V44" s="126">
        <v>6.2071381166159531E-3</v>
      </c>
      <c r="W44" s="127">
        <f t="shared" si="25"/>
        <v>18.81607348278072</v>
      </c>
      <c r="X44" s="140">
        <v>19.8</v>
      </c>
      <c r="Y44" s="141">
        <v>19.5</v>
      </c>
      <c r="Z44" s="142">
        <f t="shared" si="26"/>
        <v>-0.68392651721928033</v>
      </c>
      <c r="AA44" s="131">
        <f t="shared" si="27"/>
        <v>19.892125</v>
      </c>
      <c r="AB44" s="143" t="str">
        <f t="shared" si="28"/>
        <v/>
      </c>
      <c r="AC44" s="133">
        <f t="shared" si="29"/>
        <v>6.2071381166159531E-3</v>
      </c>
      <c r="AD44" s="133">
        <f t="shared" si="30"/>
        <v>5.106356651310302E-3</v>
      </c>
      <c r="AE44" s="133">
        <f t="shared" si="31"/>
        <v>5.106356651310302E-3</v>
      </c>
      <c r="AF44" s="134">
        <f t="shared" si="32"/>
        <v>0.71651172197958468</v>
      </c>
      <c r="AG44" s="144">
        <f>Données!G26</f>
        <v>1</v>
      </c>
      <c r="AH44" s="145">
        <f>Données!H26</f>
        <v>0.1</v>
      </c>
    </row>
    <row r="45" spans="1:34" ht="16.95" customHeight="1" x14ac:dyDescent="0.3">
      <c r="A45" s="106" t="s">
        <v>153</v>
      </c>
      <c r="B45" s="120">
        <f>Données!B27</f>
        <v>13</v>
      </c>
      <c r="C45" s="120">
        <f>Données!C27</f>
        <v>14</v>
      </c>
      <c r="D45" s="120">
        <f>Données!D27</f>
        <v>15</v>
      </c>
      <c r="E45" s="120">
        <f>Données!E27</f>
        <v>16</v>
      </c>
      <c r="F45" s="120">
        <f>Données!F27</f>
        <v>17</v>
      </c>
      <c r="G45" s="120">
        <f>IF(ABS(B45-TREND($B45:$F45,{1,2,3,4,5},1))/ABS(TREND($B45:$F45,{1,2,3,4,5},1))&gt;$B$5,TREND($B45:$F45,{1,2,3,4,5},1),B45)</f>
        <v>13</v>
      </c>
      <c r="H45" s="120">
        <f>IF(ABS(C45-TREND($B45:$F45,{1,2,3,4,5},2))/ABS(TREND($B45:$F45,{1,2,3,4,5},2))&gt;$B$5,TREND($B45:$F45,{1,2,3,4,5},2),C45)</f>
        <v>14</v>
      </c>
      <c r="I45" s="120">
        <f>IF(ABS(D45-TREND($B45:$F45,{1,2,3,4,5},3))/ABS(TREND($B45:$F45,{1,2,3,4,5},3))&gt;$B$5,TREND($B45:$F45,{1,2,3,4,5},3),D45)</f>
        <v>15</v>
      </c>
      <c r="J45" s="120">
        <f>IF(ABS(E45-TREND($B45:$F45,{1,2,3,4,5},4))/ABS(TREND($B45:$F45,{1,2,3,4,5},4))&gt;$B$5,TREND($B45:$F45,{1,2,3,4,5},4),E45)</f>
        <v>16</v>
      </c>
      <c r="K45" s="120">
        <f>IF(ABS(F45-TREND($B45:$F45,{1,2,3,4,5},5))/ABS(TREND($B45:$F45,{1,2,3,4,5},5))&gt;$B$5,TREND($B45:$F45,{1,2,3,4,5},5),F45)</f>
        <v>17</v>
      </c>
      <c r="L45" s="121" t="str">
        <f>IF(AND(ABS(B45-TREND($B45:$F45,{1,2,3,4,5},1))/ABS(TREND($B45:$F45,{1,2,3,4,5},1))&gt;$B$5&lt;=$B$5,ABS(C45-TREND($B45:$F45,{1,2,3,4,5},2))/ABS(TREND($B45:$F45,{1,2,3,4,5},2))&gt;$B$5&lt;=$B$5,ABS(D45-TREND($B45:$F45,{1,2,3,4,5},3))/ABS(TREND($B45:$F45,{1,2,3,4,5},3))&gt;$B$5&lt;=$B$5,ABS(E45-TREND($B45:$F45,{1,2,3,4,5},4))/ABS(TREND($B45:$F45,{1,2,3,4,5},4))&gt;$B$5&lt;=$B$5,ABS(F45-TREND($B45:$F45,{1,2,3,4,5},5))/ABS(TREND($B45:$F45,{1,2,3,4,5},5))&gt;$B$5&lt;=$B$5),"✓",TRIM(IF(ABS(B45-TREND($B45:$F45,{1,2,3,4,5},1))/ABS(TREND($B45:$F45,{1,2,3,4,5},1))&gt;$B$5,"⚠Y-5 ","")&amp;IF(ABS(C45-TREND($B45:$F45,{1,2,3,4,5},2))/ABS(TREND($B45:$F45,{1,2,3,4,5},2))&gt;$B$5,"⚠Y-4 ","")&amp;IF(ABS(D45-TREND($B45:$F45,{1,2,3,4,5},3))/ABS(TREND($B45:$F45,{1,2,3,4,5},3))&gt;$B$5,"⚠Y-3 ","")&amp;IF(ABS(E45-TREND($B45:$F45,{1,2,3,4,5},4))/ABS(TREND($B45:$F45,{1,2,3,4,5},4))&gt;$B$5,"⚠Y-2 ","")&amp;IF(ABS(F45-TREND($B45:$F45,{1,2,3,4,5},5))/ABS(TREND($B45:$F45,{1,2,3,4,5},5))&gt;$B$5,"⚠Y-1 ","")))</f>
        <v/>
      </c>
      <c r="M45" s="122">
        <f t="shared" si="17"/>
        <v>0.20233463035019456</v>
      </c>
      <c r="N45" s="122">
        <f t="shared" si="18"/>
        <v>0.2063882063882064</v>
      </c>
      <c r="O45" s="122">
        <f t="shared" si="19"/>
        <v>0.20886516593177074</v>
      </c>
      <c r="P45" s="122">
        <f t="shared" si="20"/>
        <v>0.21152363115566816</v>
      </c>
      <c r="Q45" s="122">
        <f t="shared" si="21"/>
        <v>0.21325527911352707</v>
      </c>
      <c r="R45" s="123">
        <f t="shared" si="22"/>
        <v>0.21101769283399313</v>
      </c>
      <c r="S45" s="124" t="str">
        <f t="shared" si="23"/>
        <v>SB</v>
      </c>
      <c r="T45" s="125" t="str">
        <f t="shared" si="24"/>
        <v>SB</v>
      </c>
      <c r="U45" s="369" t="s">
        <v>231</v>
      </c>
      <c r="V45" s="126">
        <v>6.2071381166159531E-3</v>
      </c>
      <c r="W45" s="127">
        <f t="shared" si="25"/>
        <v>17.105521347982471</v>
      </c>
      <c r="X45" s="128">
        <v>18</v>
      </c>
      <c r="Y45" s="129">
        <v>17.7</v>
      </c>
      <c r="Z45" s="130">
        <f t="shared" si="26"/>
        <v>-0.59447865201752847</v>
      </c>
      <c r="AA45" s="131">
        <f t="shared" si="27"/>
        <v>18.083749999999998</v>
      </c>
      <c r="AB45" s="132" t="str">
        <f t="shared" si="28"/>
        <v/>
      </c>
      <c r="AC45" s="133">
        <f t="shared" si="29"/>
        <v>6.2071381166159531E-3</v>
      </c>
      <c r="AD45" s="133">
        <f t="shared" si="30"/>
        <v>5.106356651310302E-3</v>
      </c>
      <c r="AE45" s="133">
        <f t="shared" si="31"/>
        <v>5.106356651310302E-3</v>
      </c>
      <c r="AF45" s="134">
        <f t="shared" si="32"/>
        <v>0.71651172197958468</v>
      </c>
      <c r="AG45" s="135">
        <f>Données!G27</f>
        <v>0</v>
      </c>
      <c r="AH45" s="136">
        <f>Données!H27</f>
        <v>0</v>
      </c>
    </row>
    <row r="46" spans="1:34" ht="16.95" customHeight="1" x14ac:dyDescent="0.3">
      <c r="A46" s="110" t="s">
        <v>154</v>
      </c>
      <c r="B46" s="137">
        <f>Données!B28</f>
        <v>18</v>
      </c>
      <c r="C46" s="137">
        <f>Données!C28</f>
        <v>19</v>
      </c>
      <c r="D46" s="137">
        <f>Données!D28</f>
        <v>20</v>
      </c>
      <c r="E46" s="137">
        <f>Données!E28</f>
        <v>21</v>
      </c>
      <c r="F46" s="137">
        <f>Données!F28</f>
        <v>22</v>
      </c>
      <c r="G46" s="137">
        <f>IF(ABS(B46-TREND($B46:$F46,{1,2,3,4,5},1))/ABS(TREND($B46:$F46,{1,2,3,4,5},1))&gt;$B$5,TREND($B46:$F46,{1,2,3,4,5},1),B46)</f>
        <v>18</v>
      </c>
      <c r="H46" s="137">
        <f>IF(ABS(C46-TREND($B46:$F46,{1,2,3,4,5},2))/ABS(TREND($B46:$F46,{1,2,3,4,5},2))&gt;$B$5,TREND($B46:$F46,{1,2,3,4,5},2),C46)</f>
        <v>19</v>
      </c>
      <c r="I46" s="137">
        <f>IF(ABS(D46-TREND($B46:$F46,{1,2,3,4,5},3))/ABS(TREND($B46:$F46,{1,2,3,4,5},3))&gt;$B$5,TREND($B46:$F46,{1,2,3,4,5},3),D46)</f>
        <v>20</v>
      </c>
      <c r="J46" s="137">
        <f>IF(ABS(E46-TREND($B46:$F46,{1,2,3,4,5},4))/ABS(TREND($B46:$F46,{1,2,3,4,5},4))&gt;$B$5,TREND($B46:$F46,{1,2,3,4,5},4),E46)</f>
        <v>21</v>
      </c>
      <c r="K46" s="137">
        <f>IF(ABS(F46-TREND($B46:$F46,{1,2,3,4,5},5))/ABS(TREND($B46:$F46,{1,2,3,4,5},5))&gt;$B$5,TREND($B46:$F46,{1,2,3,4,5},5),F46)</f>
        <v>22</v>
      </c>
      <c r="L46" s="138" t="str">
        <f>IF(AND(ABS(B46-TREND($B46:$F46,{1,2,3,4,5},1))/ABS(TREND($B46:$F46,{1,2,3,4,5},1))&gt;$B$5&lt;=$B$5,ABS(C46-TREND($B46:$F46,{1,2,3,4,5},2))/ABS(TREND($B46:$F46,{1,2,3,4,5},2))&gt;$B$5&lt;=$B$5,ABS(D46-TREND($B46:$F46,{1,2,3,4,5},3))/ABS(TREND($B46:$F46,{1,2,3,4,5},3))&gt;$B$5&lt;=$B$5,ABS(E46-TREND($B46:$F46,{1,2,3,4,5},4))/ABS(TREND($B46:$F46,{1,2,3,4,5},4))&gt;$B$5&lt;=$B$5,ABS(F46-TREND($B46:$F46,{1,2,3,4,5},5))/ABS(TREND($B46:$F46,{1,2,3,4,5},5))&gt;$B$5&lt;=$B$5),"✓",TRIM(IF(ABS(B46-TREND($B46:$F46,{1,2,3,4,5},1))/ABS(TREND($B46:$F46,{1,2,3,4,5},1))&gt;$B$5,"⚠Y-5 ","")&amp;IF(ABS(C46-TREND($B46:$F46,{1,2,3,4,5},2))/ABS(TREND($B46:$F46,{1,2,3,4,5},2))&gt;$B$5,"⚠Y-4 ","")&amp;IF(ABS(D46-TREND($B46:$F46,{1,2,3,4,5},3))/ABS(TREND($B46:$F46,{1,2,3,4,5},3))&gt;$B$5,"⚠Y-3 ","")&amp;IF(ABS(E46-TREND($B46:$F46,{1,2,3,4,5},4))/ABS(TREND($B46:$F46,{1,2,3,4,5},4))&gt;$B$5,"⚠Y-2 ","")&amp;IF(ABS(F46-TREND($B46:$F46,{1,2,3,4,5},5))/ABS(TREND($B46:$F46,{1,2,3,4,5},5))&gt;$B$5,"⚠Y-1 ","")))</f>
        <v/>
      </c>
      <c r="M46" s="139">
        <f t="shared" si="17"/>
        <v>0.28015564202334631</v>
      </c>
      <c r="N46" s="139">
        <f t="shared" si="18"/>
        <v>0.28009828009828014</v>
      </c>
      <c r="O46" s="139">
        <f t="shared" si="19"/>
        <v>0.27848688790902765</v>
      </c>
      <c r="P46" s="139">
        <f t="shared" si="20"/>
        <v>0.27762476589181451</v>
      </c>
      <c r="Q46" s="139">
        <f t="shared" si="21"/>
        <v>0.27597742002927034</v>
      </c>
      <c r="R46" s="123">
        <f t="shared" si="22"/>
        <v>0.27730430649034754</v>
      </c>
      <c r="S46" s="124" t="str">
        <f t="shared" si="23"/>
        <v>SB</v>
      </c>
      <c r="T46" s="125" t="str">
        <f t="shared" si="24"/>
        <v>SB</v>
      </c>
      <c r="U46" s="369" t="s">
        <v>231</v>
      </c>
      <c r="V46" s="126">
        <v>6.2071381166159531E-3</v>
      </c>
      <c r="W46" s="127">
        <f t="shared" si="25"/>
        <v>22.136557038565552</v>
      </c>
      <c r="X46" s="140">
        <v>23.1</v>
      </c>
      <c r="Y46" s="141">
        <v>23.1</v>
      </c>
      <c r="Z46" s="142">
        <f t="shared" si="26"/>
        <v>-0.96344296143444907</v>
      </c>
      <c r="AA46" s="131">
        <f t="shared" si="27"/>
        <v>23.063333333333333</v>
      </c>
      <c r="AB46" s="143" t="str">
        <f t="shared" si="28"/>
        <v/>
      </c>
      <c r="AC46" s="133">
        <f t="shared" si="29"/>
        <v>6.2071381166159531E-3</v>
      </c>
      <c r="AD46" s="133">
        <f t="shared" si="30"/>
        <v>5.106356651310302E-3</v>
      </c>
      <c r="AE46" s="133">
        <f t="shared" si="31"/>
        <v>5.106356651310302E-3</v>
      </c>
      <c r="AF46" s="134">
        <f t="shared" si="32"/>
        <v>0.71651172197958468</v>
      </c>
      <c r="AG46" s="144">
        <f>Données!G28</f>
        <v>0</v>
      </c>
      <c r="AH46" s="145">
        <f>Données!H28</f>
        <v>0</v>
      </c>
    </row>
    <row r="47" spans="1:34" ht="16.95" customHeight="1" x14ac:dyDescent="0.3">
      <c r="A47" s="106" t="s">
        <v>155</v>
      </c>
      <c r="B47" s="120">
        <f>Données!B29</f>
        <v>41</v>
      </c>
      <c r="C47" s="120">
        <f>Données!C29</f>
        <v>43</v>
      </c>
      <c r="D47" s="120">
        <f>Données!D29</f>
        <v>45</v>
      </c>
      <c r="E47" s="120">
        <f>Données!E29</f>
        <v>47</v>
      </c>
      <c r="F47" s="120">
        <f>Données!F29</f>
        <v>50</v>
      </c>
      <c r="G47" s="120">
        <f>IF(ABS(B47-TREND($B47:$F47,{1,2,3,4,5},1))/ABS(TREND($B47:$F47,{1,2,3,4,5},1))&gt;$B$5,TREND($B47:$F47,{1,2,3,4,5},1),B47)</f>
        <v>41</v>
      </c>
      <c r="H47" s="120">
        <f>IF(ABS(C47-TREND($B47:$F47,{1,2,3,4,5},2))/ABS(TREND($B47:$F47,{1,2,3,4,5},2))&gt;$B$5,TREND($B47:$F47,{1,2,3,4,5},2),C47)</f>
        <v>43</v>
      </c>
      <c r="I47" s="120">
        <f>IF(ABS(D47-TREND($B47:$F47,{1,2,3,4,5},3))/ABS(TREND($B47:$F47,{1,2,3,4,5},3))&gt;$B$5,TREND($B47:$F47,{1,2,3,4,5},3),D47)</f>
        <v>45</v>
      </c>
      <c r="J47" s="120">
        <f>IF(ABS(E47-TREND($B47:$F47,{1,2,3,4,5},4))/ABS(TREND($B47:$F47,{1,2,3,4,5},4))&gt;$B$5,TREND($B47:$F47,{1,2,3,4,5},4),E47)</f>
        <v>47</v>
      </c>
      <c r="K47" s="120">
        <f>IF(ABS(F47-TREND($B47:$F47,{1,2,3,4,5},5))/ABS(TREND($B47:$F47,{1,2,3,4,5},5))&gt;$B$5,TREND($B47:$F47,{1,2,3,4,5},5),F47)</f>
        <v>50</v>
      </c>
      <c r="L47" s="121" t="str">
        <f>IF(AND(ABS(B47-TREND($B47:$F47,{1,2,3,4,5},1))/ABS(TREND($B47:$F47,{1,2,3,4,5},1))&gt;$B$5&lt;=$B$5,ABS(C47-TREND($B47:$F47,{1,2,3,4,5},2))/ABS(TREND($B47:$F47,{1,2,3,4,5},2))&gt;$B$5&lt;=$B$5,ABS(D47-TREND($B47:$F47,{1,2,3,4,5},3))/ABS(TREND($B47:$F47,{1,2,3,4,5},3))&gt;$B$5&lt;=$B$5,ABS(E47-TREND($B47:$F47,{1,2,3,4,5},4))/ABS(TREND($B47:$F47,{1,2,3,4,5},4))&gt;$B$5&lt;=$B$5,ABS(F47-TREND($B47:$F47,{1,2,3,4,5},5))/ABS(TREND($B47:$F47,{1,2,3,4,5},5))&gt;$B$5&lt;=$B$5),"✓",TRIM(IF(ABS(B47-TREND($B47:$F47,{1,2,3,4,5},1))/ABS(TREND($B47:$F47,{1,2,3,4,5},1))&gt;$B$5,"⚠Y-5 ","")&amp;IF(ABS(C47-TREND($B47:$F47,{1,2,3,4,5},2))/ABS(TREND($B47:$F47,{1,2,3,4,5},2))&gt;$B$5,"⚠Y-4 ","")&amp;IF(ABS(D47-TREND($B47:$F47,{1,2,3,4,5},3))/ABS(TREND($B47:$F47,{1,2,3,4,5},3))&gt;$B$5,"⚠Y-3 ","")&amp;IF(ABS(E47-TREND($B47:$F47,{1,2,3,4,5},4))/ABS(TREND($B47:$F47,{1,2,3,4,5},4))&gt;$B$5,"⚠Y-2 ","")&amp;IF(ABS(F47-TREND($B47:$F47,{1,2,3,4,5},5))/ABS(TREND($B47:$F47,{1,2,3,4,5},5))&gt;$B$5,"⚠Y-1 ","")))</f>
        <v/>
      </c>
      <c r="M47" s="122">
        <f t="shared" si="17"/>
        <v>0.63813229571984431</v>
      </c>
      <c r="N47" s="122">
        <f t="shared" si="18"/>
        <v>0.63390663390663393</v>
      </c>
      <c r="O47" s="122">
        <f t="shared" si="19"/>
        <v>0.62659549779531221</v>
      </c>
      <c r="P47" s="122">
        <f t="shared" si="20"/>
        <v>0.62135066651977522</v>
      </c>
      <c r="Q47" s="122">
        <f t="shared" si="21"/>
        <v>0.62722140915743252</v>
      </c>
      <c r="R47" s="123">
        <f t="shared" si="22"/>
        <v>0.62716744072862374</v>
      </c>
      <c r="S47" s="124" t="str">
        <f t="shared" si="23"/>
        <v>SB</v>
      </c>
      <c r="T47" s="125" t="str">
        <f t="shared" si="24"/>
        <v>SB</v>
      </c>
      <c r="U47" s="369" t="s">
        <v>231</v>
      </c>
      <c r="V47" s="126">
        <v>6.2071381166159531E-3</v>
      </c>
      <c r="W47" s="127">
        <f t="shared" si="25"/>
        <v>50.310356905830801</v>
      </c>
      <c r="X47" s="128">
        <v>52.5</v>
      </c>
      <c r="Y47" s="129">
        <v>52.1</v>
      </c>
      <c r="Z47" s="130">
        <f t="shared" si="26"/>
        <v>-1.7896430941692003</v>
      </c>
      <c r="AA47" s="131">
        <f t="shared" si="27"/>
        <v>52.900709219858157</v>
      </c>
      <c r="AB47" s="132" t="str">
        <f t="shared" si="28"/>
        <v/>
      </c>
      <c r="AC47" s="133">
        <f t="shared" si="29"/>
        <v>6.2071381166159531E-3</v>
      </c>
      <c r="AD47" s="133">
        <f t="shared" si="30"/>
        <v>5.106356651310302E-3</v>
      </c>
      <c r="AE47" s="133">
        <f t="shared" si="31"/>
        <v>5.106356651310302E-3</v>
      </c>
      <c r="AF47" s="134">
        <f t="shared" si="32"/>
        <v>0.71651172197958468</v>
      </c>
      <c r="AG47" s="135">
        <f>Données!G29</f>
        <v>0</v>
      </c>
      <c r="AH47" s="136">
        <f>Données!H29</f>
        <v>0</v>
      </c>
    </row>
    <row r="48" spans="1:34" ht="16.95" customHeight="1" x14ac:dyDescent="0.3">
      <c r="A48" s="110" t="s">
        <v>156</v>
      </c>
      <c r="B48" s="137">
        <f>Données!B30</f>
        <v>99</v>
      </c>
      <c r="C48" s="137">
        <f>Données!C30</f>
        <v>104</v>
      </c>
      <c r="D48" s="137">
        <f>Données!D30</f>
        <v>110</v>
      </c>
      <c r="E48" s="137">
        <f>Données!E30</f>
        <v>116</v>
      </c>
      <c r="F48" s="137">
        <f>Données!F30</f>
        <v>122</v>
      </c>
      <c r="G48" s="137">
        <f>IF(ABS(B48-TREND($B48:$F48,{1,2,3,4,5},1))/ABS(TREND($B48:$F48,{1,2,3,4,5},1))&gt;$B$5,TREND($B48:$F48,{1,2,3,4,5},1),B48)</f>
        <v>99</v>
      </c>
      <c r="H48" s="137">
        <f>IF(ABS(C48-TREND($B48:$F48,{1,2,3,4,5},2))/ABS(TREND($B48:$F48,{1,2,3,4,5},2))&gt;$B$5,TREND($B48:$F48,{1,2,3,4,5},2),C48)</f>
        <v>104</v>
      </c>
      <c r="I48" s="137">
        <f>IF(ABS(D48-TREND($B48:$F48,{1,2,3,4,5},3))/ABS(TREND($B48:$F48,{1,2,3,4,5},3))&gt;$B$5,TREND($B48:$F48,{1,2,3,4,5},3),D48)</f>
        <v>110</v>
      </c>
      <c r="J48" s="137">
        <f>IF(ABS(E48-TREND($B48:$F48,{1,2,3,4,5},4))/ABS(TREND($B48:$F48,{1,2,3,4,5},4))&gt;$B$5,TREND($B48:$F48,{1,2,3,4,5},4),E48)</f>
        <v>116</v>
      </c>
      <c r="K48" s="137">
        <f>IF(ABS(F48-TREND($B48:$F48,{1,2,3,4,5},5))/ABS(TREND($B48:$F48,{1,2,3,4,5},5))&gt;$B$5,TREND($B48:$F48,{1,2,3,4,5},5),F48)</f>
        <v>122</v>
      </c>
      <c r="L48" s="138" t="str">
        <f>IF(AND(ABS(B48-TREND($B48:$F48,{1,2,3,4,5},1))/ABS(TREND($B48:$F48,{1,2,3,4,5},1))&gt;$B$5&lt;=$B$5,ABS(C48-TREND($B48:$F48,{1,2,3,4,5},2))/ABS(TREND($B48:$F48,{1,2,3,4,5},2))&gt;$B$5&lt;=$B$5,ABS(D48-TREND($B48:$F48,{1,2,3,4,5},3))/ABS(TREND($B48:$F48,{1,2,3,4,5},3))&gt;$B$5&lt;=$B$5,ABS(E48-TREND($B48:$F48,{1,2,3,4,5},4))/ABS(TREND($B48:$F48,{1,2,3,4,5},4))&gt;$B$5&lt;=$B$5,ABS(F48-TREND($B48:$F48,{1,2,3,4,5},5))/ABS(TREND($B48:$F48,{1,2,3,4,5},5))&gt;$B$5&lt;=$B$5),"✓",TRIM(IF(ABS(B48-TREND($B48:$F48,{1,2,3,4,5},1))/ABS(TREND($B48:$F48,{1,2,3,4,5},1))&gt;$B$5,"⚠Y-5 ","")&amp;IF(ABS(C48-TREND($B48:$F48,{1,2,3,4,5},2))/ABS(TREND($B48:$F48,{1,2,3,4,5},2))&gt;$B$5,"⚠Y-4 ","")&amp;IF(ABS(D48-TREND($B48:$F48,{1,2,3,4,5},3))/ABS(TREND($B48:$F48,{1,2,3,4,5},3))&gt;$B$5,"⚠Y-3 ","")&amp;IF(ABS(E48-TREND($B48:$F48,{1,2,3,4,5},4))/ABS(TREND($B48:$F48,{1,2,3,4,5},4))&gt;$B$5,"⚠Y-2 ","")&amp;IF(ABS(F48-TREND($B48:$F48,{1,2,3,4,5},5))/ABS(TREND($B48:$F48,{1,2,3,4,5},5))&gt;$B$5,"⚠Y-1 ","")))</f>
        <v/>
      </c>
      <c r="M48" s="139">
        <f t="shared" si="17"/>
        <v>1.5408560311284047</v>
      </c>
      <c r="N48" s="139">
        <f t="shared" si="18"/>
        <v>1.5331695331695332</v>
      </c>
      <c r="O48" s="139">
        <f t="shared" si="19"/>
        <v>1.5316778834996521</v>
      </c>
      <c r="P48" s="139">
        <f t="shared" si="20"/>
        <v>1.5335463258785942</v>
      </c>
      <c r="Q48" s="139">
        <f t="shared" si="21"/>
        <v>1.5304202383441354</v>
      </c>
      <c r="R48" s="123">
        <f t="shared" si="22"/>
        <v>1.5320308217461078</v>
      </c>
      <c r="S48" s="124" t="str">
        <f t="shared" si="23"/>
        <v>SH</v>
      </c>
      <c r="T48" s="125" t="str">
        <f t="shared" si="24"/>
        <v>SH</v>
      </c>
      <c r="U48" s="369" t="s">
        <v>231</v>
      </c>
      <c r="V48" s="126">
        <v>4.76240580407247E-3</v>
      </c>
      <c r="W48" s="127">
        <f t="shared" si="25"/>
        <v>122.58101350809685</v>
      </c>
      <c r="X48" s="140">
        <v>128.30000000000001</v>
      </c>
      <c r="Y48" s="141">
        <v>127.7</v>
      </c>
      <c r="Z48" s="142">
        <f t="shared" si="26"/>
        <v>-5.1189864919031578</v>
      </c>
      <c r="AA48" s="131">
        <f t="shared" si="27"/>
        <v>128.41360501567399</v>
      </c>
      <c r="AB48" s="143" t="str">
        <f t="shared" si="28"/>
        <v/>
      </c>
      <c r="AC48" s="133">
        <f t="shared" si="29"/>
        <v>4.76240580407247E-3</v>
      </c>
      <c r="AD48" s="133">
        <f t="shared" si="30"/>
        <v>4.2970166122875469E-3</v>
      </c>
      <c r="AE48" s="133">
        <f t="shared" si="31"/>
        <v>4.2970166122875469E-3</v>
      </c>
      <c r="AF48" s="134">
        <f t="shared" si="32"/>
        <v>0.70698083787677379</v>
      </c>
      <c r="AG48" s="144">
        <f>Données!G30</f>
        <v>0</v>
      </c>
      <c r="AH48" s="145">
        <f>Données!H30</f>
        <v>0</v>
      </c>
    </row>
    <row r="49" spans="1:34" ht="16.95" customHeight="1" x14ac:dyDescent="0.3">
      <c r="A49" s="106" t="s">
        <v>157</v>
      </c>
      <c r="B49" s="120">
        <f>Données!B31</f>
        <v>198</v>
      </c>
      <c r="C49" s="120">
        <f>Données!C31</f>
        <v>209</v>
      </c>
      <c r="D49" s="120">
        <f>Données!D31</f>
        <v>220</v>
      </c>
      <c r="E49" s="120">
        <f>Données!E31</f>
        <v>231</v>
      </c>
      <c r="F49" s="120">
        <f>Données!F31</f>
        <v>243</v>
      </c>
      <c r="G49" s="120">
        <f>IF(ABS(B49-TREND($B49:$F49,{1,2,3,4,5},1))/ABS(TREND($B49:$F49,{1,2,3,4,5},1))&gt;$B$5,TREND($B49:$F49,{1,2,3,4,5},1),B49)</f>
        <v>198</v>
      </c>
      <c r="H49" s="120">
        <f>IF(ABS(C49-TREND($B49:$F49,{1,2,3,4,5},2))/ABS(TREND($B49:$F49,{1,2,3,4,5},2))&gt;$B$5,TREND($B49:$F49,{1,2,3,4,5},2),C49)</f>
        <v>209</v>
      </c>
      <c r="I49" s="120">
        <f>IF(ABS(D49-TREND($B49:$F49,{1,2,3,4,5},3))/ABS(TREND($B49:$F49,{1,2,3,4,5},3))&gt;$B$5,TREND($B49:$F49,{1,2,3,4,5},3),D49)</f>
        <v>220</v>
      </c>
      <c r="J49" s="120">
        <f>IF(ABS(E49-TREND($B49:$F49,{1,2,3,4,5},4))/ABS(TREND($B49:$F49,{1,2,3,4,5},4))&gt;$B$5,TREND($B49:$F49,{1,2,3,4,5},4),E49)</f>
        <v>231</v>
      </c>
      <c r="K49" s="120">
        <f>IF(ABS(F49-TREND($B49:$F49,{1,2,3,4,5},5))/ABS(TREND($B49:$F49,{1,2,3,4,5},5))&gt;$B$5,TREND($B49:$F49,{1,2,3,4,5},5),F49)</f>
        <v>243</v>
      </c>
      <c r="L49" s="121" t="str">
        <f>IF(AND(ABS(B49-TREND($B49:$F49,{1,2,3,4,5},1))/ABS(TREND($B49:$F49,{1,2,3,4,5},1))&gt;$B$5&lt;=$B$5,ABS(C49-TREND($B49:$F49,{1,2,3,4,5},2))/ABS(TREND($B49:$F49,{1,2,3,4,5},2))&gt;$B$5&lt;=$B$5,ABS(D49-TREND($B49:$F49,{1,2,3,4,5},3))/ABS(TREND($B49:$F49,{1,2,3,4,5},3))&gt;$B$5&lt;=$B$5,ABS(E49-TREND($B49:$F49,{1,2,3,4,5},4))/ABS(TREND($B49:$F49,{1,2,3,4,5},4))&gt;$B$5&lt;=$B$5,ABS(F49-TREND($B49:$F49,{1,2,3,4,5},5))/ABS(TREND($B49:$F49,{1,2,3,4,5},5))&gt;$B$5&lt;=$B$5),"✓",TRIM(IF(ABS(B49-TREND($B49:$F49,{1,2,3,4,5},1))/ABS(TREND($B49:$F49,{1,2,3,4,5},1))&gt;$B$5,"⚠Y-5 ","")&amp;IF(ABS(C49-TREND($B49:$F49,{1,2,3,4,5},2))/ABS(TREND($B49:$F49,{1,2,3,4,5},2))&gt;$B$5,"⚠Y-4 ","")&amp;IF(ABS(D49-TREND($B49:$F49,{1,2,3,4,5},3))/ABS(TREND($B49:$F49,{1,2,3,4,5},3))&gt;$B$5,"⚠Y-3 ","")&amp;IF(ABS(E49-TREND($B49:$F49,{1,2,3,4,5},4))/ABS(TREND($B49:$F49,{1,2,3,4,5},4))&gt;$B$5,"⚠Y-2 ","")&amp;IF(ABS(F49-TREND($B49:$F49,{1,2,3,4,5},5))/ABS(TREND($B49:$F49,{1,2,3,4,5},5))&gt;$B$5,"⚠Y-1 ","")))</f>
        <v/>
      </c>
      <c r="M49" s="122">
        <f t="shared" si="17"/>
        <v>3.0817120622568095</v>
      </c>
      <c r="N49" s="122">
        <f t="shared" si="18"/>
        <v>3.0810810810810811</v>
      </c>
      <c r="O49" s="122">
        <f t="shared" si="19"/>
        <v>3.0633557669993041</v>
      </c>
      <c r="P49" s="122">
        <f t="shared" si="20"/>
        <v>3.0538724248099594</v>
      </c>
      <c r="Q49" s="122">
        <f t="shared" si="21"/>
        <v>3.0482960485051223</v>
      </c>
      <c r="R49" s="123">
        <f t="shared" si="22"/>
        <v>3.0566195854853975</v>
      </c>
      <c r="S49" s="124" t="str">
        <f t="shared" si="23"/>
        <v>SH</v>
      </c>
      <c r="T49" s="125" t="str">
        <f t="shared" si="24"/>
        <v>SH</v>
      </c>
      <c r="U49" s="369" t="s">
        <v>231</v>
      </c>
      <c r="V49" s="126">
        <v>4.76240580407247E-3</v>
      </c>
      <c r="W49" s="127">
        <f t="shared" si="25"/>
        <v>292.98871753246755</v>
      </c>
      <c r="X49" s="128">
        <v>306.3</v>
      </c>
      <c r="Y49" s="129">
        <v>305.39999999999998</v>
      </c>
      <c r="Z49" s="130">
        <f t="shared" si="26"/>
        <v>-12.41128246753243</v>
      </c>
      <c r="AA49" s="131">
        <f t="shared" si="27"/>
        <v>306.57763636363632</v>
      </c>
      <c r="AB49" s="132" t="str">
        <f t="shared" si="28"/>
        <v/>
      </c>
      <c r="AC49" s="133">
        <f t="shared" si="29"/>
        <v>4.76240580407247E-3</v>
      </c>
      <c r="AD49" s="133">
        <f t="shared" si="30"/>
        <v>4.2970166122875469E-3</v>
      </c>
      <c r="AE49" s="133">
        <f t="shared" si="31"/>
        <v>4.2970166122875469E-3</v>
      </c>
      <c r="AF49" s="134">
        <f t="shared" si="32"/>
        <v>0.70698083787677379</v>
      </c>
      <c r="AG49" s="135">
        <f>Données!G31</f>
        <v>1</v>
      </c>
      <c r="AH49" s="136">
        <f>Données!H31</f>
        <v>0.2</v>
      </c>
    </row>
    <row r="50" spans="1:34" ht="16.95" customHeight="1" x14ac:dyDescent="0.3">
      <c r="A50" s="110" t="s">
        <v>158</v>
      </c>
      <c r="B50" s="137">
        <f>Données!B32</f>
        <v>252</v>
      </c>
      <c r="C50" s="137">
        <f>Données!C32</f>
        <v>266</v>
      </c>
      <c r="D50" s="137">
        <f>Données!D32</f>
        <v>280</v>
      </c>
      <c r="E50" s="137">
        <f>Données!E32</f>
        <v>294</v>
      </c>
      <c r="F50" s="137">
        <f>Données!F32</f>
        <v>309</v>
      </c>
      <c r="G50" s="137">
        <f>IF(ABS(B50-TREND($B50:$F50,{1,2,3,4,5},1))/ABS(TREND($B50:$F50,{1,2,3,4,5},1))&gt;$B$5,TREND($B50:$F50,{1,2,3,4,5},1),B50)</f>
        <v>252</v>
      </c>
      <c r="H50" s="137">
        <f>IF(ABS(C50-TREND($B50:$F50,{1,2,3,4,5},2))/ABS(TREND($B50:$F50,{1,2,3,4,5},2))&gt;$B$5,TREND($B50:$F50,{1,2,3,4,5},2),C50)</f>
        <v>266</v>
      </c>
      <c r="I50" s="137">
        <f>IF(ABS(D50-TREND($B50:$F50,{1,2,3,4,5},3))/ABS(TREND($B50:$F50,{1,2,3,4,5},3))&gt;$B$5,TREND($B50:$F50,{1,2,3,4,5},3),D50)</f>
        <v>280</v>
      </c>
      <c r="J50" s="137">
        <f>IF(ABS(E50-TREND($B50:$F50,{1,2,3,4,5},4))/ABS(TREND($B50:$F50,{1,2,3,4,5},4))&gt;$B$5,TREND($B50:$F50,{1,2,3,4,5},4),E50)</f>
        <v>294</v>
      </c>
      <c r="K50" s="137">
        <f>IF(ABS(F50-TREND($B50:$F50,{1,2,3,4,5},5))/ABS(TREND($B50:$F50,{1,2,3,4,5},5))&gt;$B$5,TREND($B50:$F50,{1,2,3,4,5},5),F50)</f>
        <v>309</v>
      </c>
      <c r="L50" s="138" t="str">
        <f>IF(AND(ABS(B50-TREND($B50:$F50,{1,2,3,4,5},1))/ABS(TREND($B50:$F50,{1,2,3,4,5},1))&gt;$B$5&lt;=$B$5,ABS(C50-TREND($B50:$F50,{1,2,3,4,5},2))/ABS(TREND($B50:$F50,{1,2,3,4,5},2))&gt;$B$5&lt;=$B$5,ABS(D50-TREND($B50:$F50,{1,2,3,4,5},3))/ABS(TREND($B50:$F50,{1,2,3,4,5},3))&gt;$B$5&lt;=$B$5,ABS(E50-TREND($B50:$F50,{1,2,3,4,5},4))/ABS(TREND($B50:$F50,{1,2,3,4,5},4))&gt;$B$5&lt;=$B$5,ABS(F50-TREND($B50:$F50,{1,2,3,4,5},5))/ABS(TREND($B50:$F50,{1,2,3,4,5},5))&gt;$B$5&lt;=$B$5),"✓",TRIM(IF(ABS(B50-TREND($B50:$F50,{1,2,3,4,5},1))/ABS(TREND($B50:$F50,{1,2,3,4,5},1))&gt;$B$5,"⚠Y-5 ","")&amp;IF(ABS(C50-TREND($B50:$F50,{1,2,3,4,5},2))/ABS(TREND($B50:$F50,{1,2,3,4,5},2))&gt;$B$5,"⚠Y-4 ","")&amp;IF(ABS(D50-TREND($B50:$F50,{1,2,3,4,5},3))/ABS(TREND($B50:$F50,{1,2,3,4,5},3))&gt;$B$5,"⚠Y-3 ","")&amp;IF(ABS(E50-TREND($B50:$F50,{1,2,3,4,5},4))/ABS(TREND($B50:$F50,{1,2,3,4,5},4))&gt;$B$5,"⚠Y-2 ","")&amp;IF(ABS(F50-TREND($B50:$F50,{1,2,3,4,5},5))/ABS(TREND($B50:$F50,{1,2,3,4,5},5))&gt;$B$5,"⚠Y-1 ","")))</f>
        <v/>
      </c>
      <c r="M50" s="139">
        <f t="shared" si="17"/>
        <v>3.9221789883268481</v>
      </c>
      <c r="N50" s="139">
        <f t="shared" si="18"/>
        <v>3.9213759213759216</v>
      </c>
      <c r="O50" s="139">
        <f t="shared" si="19"/>
        <v>3.8988164307263866</v>
      </c>
      <c r="P50" s="139">
        <f t="shared" si="20"/>
        <v>3.8867467224854026</v>
      </c>
      <c r="Q50" s="139">
        <f t="shared" si="21"/>
        <v>3.8762283085929332</v>
      </c>
      <c r="R50" s="123">
        <f t="shared" si="22"/>
        <v>3.8885325049564399</v>
      </c>
      <c r="S50" s="124" t="str">
        <f t="shared" si="23"/>
        <v>SH</v>
      </c>
      <c r="T50" s="125" t="str">
        <f t="shared" si="24"/>
        <v>SH</v>
      </c>
      <c r="U50" s="369" t="s">
        <v>231</v>
      </c>
      <c r="V50" s="126">
        <v>4.76240580407247E-3</v>
      </c>
      <c r="W50" s="127">
        <f t="shared" si="25"/>
        <v>310.47158339345839</v>
      </c>
      <c r="X50" s="140">
        <v>324.5</v>
      </c>
      <c r="Y50" s="141">
        <v>323.7</v>
      </c>
      <c r="Z50" s="142">
        <f t="shared" si="26"/>
        <v>-13.2284166065416</v>
      </c>
      <c r="AA50" s="131">
        <f t="shared" si="27"/>
        <v>324.67071428571427</v>
      </c>
      <c r="AB50" s="143" t="str">
        <f t="shared" si="28"/>
        <v/>
      </c>
      <c r="AC50" s="133">
        <f t="shared" si="29"/>
        <v>4.76240580407247E-3</v>
      </c>
      <c r="AD50" s="133">
        <f t="shared" si="30"/>
        <v>4.2970166122875469E-3</v>
      </c>
      <c r="AE50" s="133">
        <f t="shared" si="31"/>
        <v>4.2970166122875469E-3</v>
      </c>
      <c r="AF50" s="134">
        <f t="shared" si="32"/>
        <v>0.70698083787677379</v>
      </c>
      <c r="AG50" s="144">
        <f>Données!G32</f>
        <v>0</v>
      </c>
      <c r="AH50" s="145">
        <f>Données!H32</f>
        <v>0</v>
      </c>
    </row>
    <row r="51" spans="1:34" ht="18" customHeight="1" x14ac:dyDescent="0.3">
      <c r="A51" s="146" t="s">
        <v>29</v>
      </c>
      <c r="B51" s="147">
        <f t="shared" ref="B51:K51" si="33">SUM(B39:B50)</f>
        <v>771</v>
      </c>
      <c r="C51" s="147">
        <f t="shared" si="33"/>
        <v>814</v>
      </c>
      <c r="D51" s="147">
        <f t="shared" si="33"/>
        <v>858</v>
      </c>
      <c r="E51" s="147">
        <f t="shared" si="33"/>
        <v>921</v>
      </c>
      <c r="F51" s="147">
        <f t="shared" si="33"/>
        <v>949</v>
      </c>
      <c r="G51" s="147">
        <f t="shared" si="33"/>
        <v>771</v>
      </c>
      <c r="H51" s="147">
        <f t="shared" si="33"/>
        <v>814</v>
      </c>
      <c r="I51" s="147">
        <f t="shared" si="33"/>
        <v>861.8</v>
      </c>
      <c r="J51" s="147">
        <f t="shared" si="33"/>
        <v>907.7</v>
      </c>
      <c r="K51" s="147">
        <f t="shared" si="33"/>
        <v>956.6</v>
      </c>
      <c r="L51" s="148"/>
      <c r="M51" s="148"/>
      <c r="N51" s="148"/>
      <c r="O51" s="148"/>
      <c r="P51" s="148"/>
      <c r="Q51" s="148"/>
      <c r="R51" s="148"/>
      <c r="S51" s="148"/>
      <c r="T51" s="148"/>
      <c r="U51" s="148"/>
      <c r="V51" s="148"/>
      <c r="W51" s="147">
        <f>SUM(W39:W50)</f>
        <v>1012.038592865259</v>
      </c>
      <c r="X51" s="147">
        <f>SUM(X39:X50)</f>
        <v>1053.2</v>
      </c>
      <c r="Y51" s="147">
        <f>SUM(Y39:Y50)</f>
        <v>1053.0999999999999</v>
      </c>
      <c r="Z51" s="149">
        <f>SUM(Z39:Z50)</f>
        <v>-41.061407134740918</v>
      </c>
      <c r="AA51" s="147">
        <f>SUM(AA39:AA50)</f>
        <v>1061.0065250439281</v>
      </c>
      <c r="AB51" s="148"/>
      <c r="AC51" s="148"/>
      <c r="AD51" s="148"/>
      <c r="AE51" s="148"/>
      <c r="AF51" s="148"/>
      <c r="AG51" s="148"/>
      <c r="AH51" s="148"/>
    </row>
    <row r="52" spans="1:34" ht="4.95" customHeight="1" x14ac:dyDescent="0.3">
      <c r="A52" s="48"/>
      <c r="B52" s="48"/>
      <c r="C52" s="48"/>
      <c r="D52" s="48"/>
      <c r="E52" s="48"/>
      <c r="F52" s="48"/>
      <c r="G52" s="48"/>
      <c r="H52" s="48"/>
      <c r="I52" s="48"/>
      <c r="J52" s="48"/>
      <c r="K52" s="48"/>
      <c r="L52" s="48"/>
      <c r="M52" s="48"/>
      <c r="N52" s="48"/>
      <c r="O52" s="48"/>
      <c r="P52" s="48"/>
      <c r="Q52" s="48"/>
      <c r="R52" s="48"/>
      <c r="S52" s="48"/>
      <c r="T52" s="48"/>
      <c r="U52" s="48"/>
    </row>
    <row r="53" spans="1:34" ht="16.05" customHeight="1" x14ac:dyDescent="0.3">
      <c r="A53" s="49" t="s">
        <v>84</v>
      </c>
      <c r="B53" s="50">
        <f>SUMPRODUCT(ABS(J39:J50*(J39:J50/I39:I50)-K39:K50)/K39:K50)/12</f>
        <v>4.6377903763156576E-3</v>
      </c>
      <c r="C53" s="381" t="s">
        <v>233</v>
      </c>
      <c r="D53" s="373"/>
      <c r="E53" s="373"/>
      <c r="F53" s="373"/>
      <c r="G53" s="373"/>
      <c r="H53" s="373"/>
      <c r="I53" s="373"/>
      <c r="J53" s="373"/>
      <c r="K53" s="373"/>
      <c r="L53" s="373"/>
      <c r="M53" s="373"/>
      <c r="N53" s="373"/>
      <c r="O53" s="373"/>
      <c r="P53" s="373"/>
      <c r="Q53" s="373"/>
      <c r="R53" s="373"/>
      <c r="S53" s="373"/>
      <c r="T53" s="374"/>
    </row>
    <row r="54" spans="1:34" ht="4.95" customHeight="1" x14ac:dyDescent="0.3">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row>
    <row r="55" spans="1:34" ht="18" customHeight="1" x14ac:dyDescent="0.3">
      <c r="A55" s="404" t="s">
        <v>235</v>
      </c>
      <c r="B55" s="373"/>
      <c r="C55" s="373"/>
      <c r="D55" s="373"/>
      <c r="E55" s="373"/>
      <c r="F55" s="373"/>
      <c r="G55" s="373"/>
      <c r="H55" s="373"/>
      <c r="I55" s="373"/>
      <c r="J55" s="373"/>
      <c r="K55" s="373"/>
      <c r="L55" s="373"/>
      <c r="M55" s="373"/>
      <c r="N55" s="373"/>
      <c r="O55" s="373"/>
      <c r="P55" s="373"/>
      <c r="Q55" s="373"/>
      <c r="R55" s="373"/>
      <c r="S55" s="373"/>
      <c r="T55" s="374"/>
    </row>
    <row r="56" spans="1:34" ht="16.95" customHeight="1" x14ac:dyDescent="0.3">
      <c r="A56" s="106" t="s">
        <v>147</v>
      </c>
      <c r="B56" s="120">
        <f>Données!B36</f>
        <v>97</v>
      </c>
      <c r="C56" s="120">
        <f>Données!C36</f>
        <v>98</v>
      </c>
      <c r="D56" s="120">
        <f>Données!D36</f>
        <v>99</v>
      </c>
      <c r="E56" s="120">
        <f>Données!E36</f>
        <v>114</v>
      </c>
      <c r="F56" s="120">
        <f>Données!F36</f>
        <v>131</v>
      </c>
      <c r="G56" s="120">
        <f>IF(ABS(B56-TREND($B56:$F56,{1,2,3,4,5},1))/ABS(TREND($B56:$F56,{1,2,3,4,5},1))&gt;$B$5,TREND($B56:$F56,{1,2,3,4,5},1),B56)</f>
        <v>97</v>
      </c>
      <c r="H56" s="120">
        <f>IF(ABS(C56-TREND($B56:$F56,{1,2,3,4,5},2))/ABS(TREND($B56:$F56,{1,2,3,4,5},2))&gt;$B$5,TREND($B56:$F56,{1,2,3,4,5},2),C56)</f>
        <v>98</v>
      </c>
      <c r="I56" s="120">
        <f>IF(ABS(D56-TREND($B56:$F56,{1,2,3,4,5},3))/ABS(TREND($B56:$F56,{1,2,3,4,5},3))&gt;$B$5,TREND($B56:$F56,{1,2,3,4,5},3),D56)</f>
        <v>99</v>
      </c>
      <c r="J56" s="120">
        <f>IF(ABS(E56-TREND($B56:$F56,{1,2,3,4,5},4))/ABS(TREND($B56:$F56,{1,2,3,4,5},4))&gt;$B$5,TREND($B56:$F56,{1,2,3,4,5},4),E56)</f>
        <v>114</v>
      </c>
      <c r="K56" s="120">
        <f>IF(ABS(F56-TREND($B56:$F56,{1,2,3,4,5},5))/ABS(TREND($B56:$F56,{1,2,3,4,5},5))&gt;$B$5,TREND($B56:$F56,{1,2,3,4,5},5),F56)</f>
        <v>131</v>
      </c>
      <c r="L56" s="121" t="str">
        <f>IF(AND(ABS(B56-TREND($B56:$F56,{1,2,3,4,5},1))/ABS(TREND($B56:$F56,{1,2,3,4,5},1))&gt;$B$5&lt;=$B$5,ABS(C56-TREND($B56:$F56,{1,2,3,4,5},2))/ABS(TREND($B56:$F56,{1,2,3,4,5},2))&gt;$B$5&lt;=$B$5,ABS(D56-TREND($B56:$F56,{1,2,3,4,5},3))/ABS(TREND($B56:$F56,{1,2,3,4,5},3))&gt;$B$5&lt;=$B$5,ABS(E56-TREND($B56:$F56,{1,2,3,4,5},4))/ABS(TREND($B56:$F56,{1,2,3,4,5},4))&gt;$B$5&lt;=$B$5,ABS(F56-TREND($B56:$F56,{1,2,3,4,5},5))/ABS(TREND($B56:$F56,{1,2,3,4,5},5))&gt;$B$5&lt;=$B$5),"✓",TRIM(IF(ABS(B56-TREND($B56:$F56,{1,2,3,4,5},1))/ABS(TREND($B56:$F56,{1,2,3,4,5},1))&gt;$B$5,"⚠Y-5 ","")&amp;IF(ABS(C56-TREND($B56:$F56,{1,2,3,4,5},2))/ABS(TREND($B56:$F56,{1,2,3,4,5},2))&gt;$B$5,"⚠Y-4 ","")&amp;IF(ABS(D56-TREND($B56:$F56,{1,2,3,4,5},3))/ABS(TREND($B56:$F56,{1,2,3,4,5},3))&gt;$B$5,"⚠Y-3 ","")&amp;IF(ABS(E56-TREND($B56:$F56,{1,2,3,4,5},4))/ABS(TREND($B56:$F56,{1,2,3,4,5},4))&gt;$B$5,"⚠Y-2 ","")&amp;IF(ABS(F56-TREND($B56:$F56,{1,2,3,4,5},5))/ABS(TREND($B56:$F56,{1,2,3,4,5},5))&gt;$B$5,"⚠Y-1 ","")))</f>
        <v/>
      </c>
      <c r="M56" s="122">
        <f t="shared" ref="M56:M67" si="34">G56/AVERAGE($G$56:$G$67)</f>
        <v>0.96838602329450907</v>
      </c>
      <c r="N56" s="122">
        <f t="shared" ref="N56:N67" si="35">H56/AVERAGE($H$56:$H$67)</f>
        <v>0.96869851729818779</v>
      </c>
      <c r="O56" s="122">
        <f t="shared" ref="O56:O67" si="36">I56/AVERAGE($I$56:$I$67)</f>
        <v>0.96900489396411094</v>
      </c>
      <c r="P56" s="122">
        <f t="shared" ref="P56:P67" si="37">J56/AVERAGE($J$56:$J$67)</f>
        <v>0.97090134847409504</v>
      </c>
      <c r="Q56" s="122">
        <f t="shared" ref="Q56:Q67" si="38">K56/AVERAGE($K$56:$K$67)</f>
        <v>0.97037037037037033</v>
      </c>
      <c r="R56" s="123">
        <f t="shared" ref="R56:R67" si="39">$B$8*M56+$B$9*N56+$B$10*O56+$B$11*P56+$B$12*Q56</f>
        <v>0.97000534186916509</v>
      </c>
      <c r="S56" s="124" t="str">
        <f t="shared" ref="S56:S67" si="40">IF(R56&lt;$B$6,"SB",IF(R56&gt;$B$7,"SH","NS"))</f>
        <v>NS</v>
      </c>
      <c r="T56" s="125" t="str">
        <f t="shared" ref="T56:T67" si="41">IF(SUMPRODUCT(--(M56:Q56&gt;$B$7))&gt;2.5,"SH",IF(SUMPRODUCT(--(M56:Q56&lt;$B$6))&gt;2.5,"SB","NS"))</f>
        <v>NS</v>
      </c>
      <c r="U56" s="370" t="s">
        <v>232</v>
      </c>
      <c r="V56" s="126">
        <v>1.131956251868905E-2</v>
      </c>
      <c r="W56" s="127">
        <f t="shared" ref="W56:W67" si="42">K56*(1+V56)*(1+AG56*AH56)</f>
        <v>132.48286268994826</v>
      </c>
      <c r="X56" s="150" t="s">
        <v>236</v>
      </c>
      <c r="Y56" s="150" t="s">
        <v>236</v>
      </c>
      <c r="Z56" s="150" t="s">
        <v>236</v>
      </c>
      <c r="AA56" s="131">
        <f t="shared" ref="AA56:AA67" si="43">K56*($B$14*K56/J56+$B$15*J56/I56)*(1+AG56*AH56)</f>
        <v>150.62910685805423</v>
      </c>
      <c r="AB56" s="132" t="str">
        <f t="shared" ref="AB56:AB67" si="44">IF(SIGN(K56/J56-1)&lt;&gt;SIGN(J56/I56-1),"⚠ retournement",IF(ABS(K56/J56-J56/I56)&gt;$B$16,"⚡ accél.",""))</f>
        <v/>
      </c>
      <c r="AC56" s="133">
        <f t="shared" ref="AC56:AC67" si="45">IFERROR(SUMPRODUCT(($T$56:$T$67=T56)*(($K$56:$K$67/$G$56:$G$67-1)/48))/COUNTIF($T$56:$T$67,T56),0)</f>
        <v>7.2446885320634454E-3</v>
      </c>
      <c r="AD56" s="133">
        <f t="shared" ref="AD56:AD67" si="46">IFERROR(SUMPRODUCT(($T$56:$T$67=T56)*(($K$56:$K$67/$J$56:$J$67-1)/12))/COUNTIF($T$56:$T$67,T56),0)</f>
        <v>1.2478866644767628E-2</v>
      </c>
      <c r="AE56" s="133">
        <f t="shared" ref="AE56:AE67" si="47">IFERROR(IF(SUMPRODUCT(($T$56:$T$67=T56)*(ROW($T$56:$T$67)-ROW($T$56)+1&gt;9))&gt;0,SUMPRODUCT(($T$56:$T$67=T56)*(ROW($T$56:$T$67)-ROW($T$56)+1&gt;9)*(($K$56:$K$67/$J$56:$J$67-1)/12))/SUMPRODUCT(($T$56:$T$67=T56)*(ROW($T$56:$T$67)-ROW($T$56)+1&gt;9)),AD56),AD56)</f>
        <v>1.2617072602334209E-2</v>
      </c>
      <c r="AF56" s="134">
        <f t="shared" ref="AF56:AF67" si="48">MIN($J$9,$B$14+($J$9-$B$14)*MIN(1,IFERROR(ABS(AC56-AD56)/$J$8,1)))</f>
        <v>0.77851267169056271</v>
      </c>
      <c r="AG56" s="135">
        <f>Données!G36</f>
        <v>0</v>
      </c>
      <c r="AH56" s="136">
        <f>Données!H36</f>
        <v>0</v>
      </c>
    </row>
    <row r="57" spans="1:34" ht="16.95" customHeight="1" x14ac:dyDescent="0.3">
      <c r="A57" s="110" t="s">
        <v>148</v>
      </c>
      <c r="B57" s="137">
        <f>Données!B37</f>
        <v>99</v>
      </c>
      <c r="C57" s="137">
        <f>Données!C37</f>
        <v>100</v>
      </c>
      <c r="D57" s="137">
        <f>Données!D37</f>
        <v>101</v>
      </c>
      <c r="E57" s="137">
        <f>Données!E37</f>
        <v>116</v>
      </c>
      <c r="F57" s="137">
        <f>Données!F37</f>
        <v>133</v>
      </c>
      <c r="G57" s="137">
        <f>IF(ABS(B57-TREND($B57:$F57,{1,2,3,4,5},1))/ABS(TREND($B57:$F57,{1,2,3,4,5},1))&gt;$B$5,TREND($B57:$F57,{1,2,3,4,5},1),B57)</f>
        <v>99</v>
      </c>
      <c r="H57" s="137">
        <f>IF(ABS(C57-TREND($B57:$F57,{1,2,3,4,5},2))/ABS(TREND($B57:$F57,{1,2,3,4,5},2))&gt;$B$5,TREND($B57:$F57,{1,2,3,4,5},2),C57)</f>
        <v>100</v>
      </c>
      <c r="I57" s="137">
        <f>IF(ABS(D57-TREND($B57:$F57,{1,2,3,4,5},3))/ABS(TREND($B57:$F57,{1,2,3,4,5},3))&gt;$B$5,TREND($B57:$F57,{1,2,3,4,5},3),D57)</f>
        <v>101</v>
      </c>
      <c r="J57" s="137">
        <f>IF(ABS(E57-TREND($B57:$F57,{1,2,3,4,5},4))/ABS(TREND($B57:$F57,{1,2,3,4,5},4))&gt;$B$5,TREND($B57:$F57,{1,2,3,4,5},4),E57)</f>
        <v>116</v>
      </c>
      <c r="K57" s="137">
        <f>IF(ABS(F57-TREND($B57:$F57,{1,2,3,4,5},5))/ABS(TREND($B57:$F57,{1,2,3,4,5},5))&gt;$B$5,TREND($B57:$F57,{1,2,3,4,5},5),F57)</f>
        <v>133</v>
      </c>
      <c r="L57" s="138" t="str">
        <f>IF(AND(ABS(B57-TREND($B57:$F57,{1,2,3,4,5},1))/ABS(TREND($B57:$F57,{1,2,3,4,5},1))&gt;$B$5&lt;=$B$5,ABS(C57-TREND($B57:$F57,{1,2,3,4,5},2))/ABS(TREND($B57:$F57,{1,2,3,4,5},2))&gt;$B$5&lt;=$B$5,ABS(D57-TREND($B57:$F57,{1,2,3,4,5},3))/ABS(TREND($B57:$F57,{1,2,3,4,5},3))&gt;$B$5&lt;=$B$5,ABS(E57-TREND($B57:$F57,{1,2,3,4,5},4))/ABS(TREND($B57:$F57,{1,2,3,4,5},4))&gt;$B$5&lt;=$B$5,ABS(F57-TREND($B57:$F57,{1,2,3,4,5},5))/ABS(TREND($B57:$F57,{1,2,3,4,5},5))&gt;$B$5&lt;=$B$5),"✓",TRIM(IF(ABS(B57-TREND($B57:$F57,{1,2,3,4,5},1))/ABS(TREND($B57:$F57,{1,2,3,4,5},1))&gt;$B$5,"⚠Y-5 ","")&amp;IF(ABS(C57-TREND($B57:$F57,{1,2,3,4,5},2))/ABS(TREND($B57:$F57,{1,2,3,4,5},2))&gt;$B$5,"⚠Y-4 ","")&amp;IF(ABS(D57-TREND($B57:$F57,{1,2,3,4,5},3))/ABS(TREND($B57:$F57,{1,2,3,4,5},3))&gt;$B$5,"⚠Y-3 ","")&amp;IF(ABS(E57-TREND($B57:$F57,{1,2,3,4,5},4))/ABS(TREND($B57:$F57,{1,2,3,4,5},4))&gt;$B$5,"⚠Y-2 ","")&amp;IF(ABS(F57-TREND($B57:$F57,{1,2,3,4,5},5))/ABS(TREND($B57:$F57,{1,2,3,4,5},5))&gt;$B$5,"⚠Y-1 ","")))</f>
        <v/>
      </c>
      <c r="M57" s="139">
        <f t="shared" si="34"/>
        <v>0.98835274542429274</v>
      </c>
      <c r="N57" s="139">
        <f t="shared" si="35"/>
        <v>0.98846787479406917</v>
      </c>
      <c r="O57" s="139">
        <f t="shared" si="36"/>
        <v>0.98858075040783033</v>
      </c>
      <c r="P57" s="139">
        <f t="shared" si="37"/>
        <v>0.98793470546486861</v>
      </c>
      <c r="Q57" s="139">
        <f t="shared" si="38"/>
        <v>0.98518518518518516</v>
      </c>
      <c r="R57" s="123">
        <f t="shared" si="39"/>
        <v>0.98673107099736246</v>
      </c>
      <c r="S57" s="124" t="str">
        <f t="shared" si="40"/>
        <v>NS</v>
      </c>
      <c r="T57" s="125" t="str">
        <f t="shared" si="41"/>
        <v>NS</v>
      </c>
      <c r="U57" s="370" t="s">
        <v>232</v>
      </c>
      <c r="V57" s="126">
        <v>1.131956251868905E-2</v>
      </c>
      <c r="W57" s="127">
        <f t="shared" si="42"/>
        <v>134.50550181498565</v>
      </c>
      <c r="X57" s="151" t="s">
        <v>236</v>
      </c>
      <c r="Y57" s="151" t="s">
        <v>236</v>
      </c>
      <c r="Z57" s="151" t="s">
        <v>236</v>
      </c>
      <c r="AA57" s="131">
        <f t="shared" si="43"/>
        <v>152.56970809149882</v>
      </c>
      <c r="AB57" s="143" t="str">
        <f t="shared" si="44"/>
        <v/>
      </c>
      <c r="AC57" s="133">
        <f t="shared" si="45"/>
        <v>7.2446885320634454E-3</v>
      </c>
      <c r="AD57" s="133">
        <f t="shared" si="46"/>
        <v>1.2478866644767628E-2</v>
      </c>
      <c r="AE57" s="133">
        <f t="shared" si="47"/>
        <v>1.2617072602334209E-2</v>
      </c>
      <c r="AF57" s="134">
        <f t="shared" si="48"/>
        <v>0.77851267169056271</v>
      </c>
      <c r="AG57" s="144">
        <f>Données!G37</f>
        <v>0</v>
      </c>
      <c r="AH57" s="145">
        <f>Données!H37</f>
        <v>0</v>
      </c>
    </row>
    <row r="58" spans="1:34" ht="16.95" customHeight="1" x14ac:dyDescent="0.3">
      <c r="A58" s="106" t="s">
        <v>149</v>
      </c>
      <c r="B58" s="120">
        <f>Données!B38</f>
        <v>101</v>
      </c>
      <c r="C58" s="120">
        <f>Données!C38</f>
        <v>102</v>
      </c>
      <c r="D58" s="120">
        <f>Données!D38</f>
        <v>103</v>
      </c>
      <c r="E58" s="120">
        <f>Données!E38</f>
        <v>118</v>
      </c>
      <c r="F58" s="120">
        <f>Données!F38</f>
        <v>136</v>
      </c>
      <c r="G58" s="120">
        <f>IF(ABS(B58-TREND($B58:$F58,{1,2,3,4,5},1))/ABS(TREND($B58:$F58,{1,2,3,4,5},1))&gt;$B$5,TREND($B58:$F58,{1,2,3,4,5},1),B58)</f>
        <v>101</v>
      </c>
      <c r="H58" s="120">
        <f>IF(ABS(C58-TREND($B58:$F58,{1,2,3,4,5},2))/ABS(TREND($B58:$F58,{1,2,3,4,5},2))&gt;$B$5,TREND($B58:$F58,{1,2,3,4,5},2),C58)</f>
        <v>102</v>
      </c>
      <c r="I58" s="120">
        <f>IF(ABS(D58-TREND($B58:$F58,{1,2,3,4,5},3))/ABS(TREND($B58:$F58,{1,2,3,4,5},3))&gt;$B$5,TREND($B58:$F58,{1,2,3,4,5},3),D58)</f>
        <v>103</v>
      </c>
      <c r="J58" s="120">
        <f>IF(ABS(E58-TREND($B58:$F58,{1,2,3,4,5},4))/ABS(TREND($B58:$F58,{1,2,3,4,5},4))&gt;$B$5,TREND($B58:$F58,{1,2,3,4,5},4),E58)</f>
        <v>118</v>
      </c>
      <c r="K58" s="120">
        <f>IF(ABS(F58-TREND($B58:$F58,{1,2,3,4,5},5))/ABS(TREND($B58:$F58,{1,2,3,4,5},5))&gt;$B$5,TREND($B58:$F58,{1,2,3,4,5},5),F58)</f>
        <v>136</v>
      </c>
      <c r="L58" s="121" t="str">
        <f>IF(AND(ABS(B58-TREND($B58:$F58,{1,2,3,4,5},1))/ABS(TREND($B58:$F58,{1,2,3,4,5},1))&gt;$B$5&lt;=$B$5,ABS(C58-TREND($B58:$F58,{1,2,3,4,5},2))/ABS(TREND($B58:$F58,{1,2,3,4,5},2))&gt;$B$5&lt;=$B$5,ABS(D58-TREND($B58:$F58,{1,2,3,4,5},3))/ABS(TREND($B58:$F58,{1,2,3,4,5},3))&gt;$B$5&lt;=$B$5,ABS(E58-TREND($B58:$F58,{1,2,3,4,5},4))/ABS(TREND($B58:$F58,{1,2,3,4,5},4))&gt;$B$5&lt;=$B$5,ABS(F58-TREND($B58:$F58,{1,2,3,4,5},5))/ABS(TREND($B58:$F58,{1,2,3,4,5},5))&gt;$B$5&lt;=$B$5),"✓",TRIM(IF(ABS(B58-TREND($B58:$F58,{1,2,3,4,5},1))/ABS(TREND($B58:$F58,{1,2,3,4,5},1))&gt;$B$5,"⚠Y-5 ","")&amp;IF(ABS(C58-TREND($B58:$F58,{1,2,3,4,5},2))/ABS(TREND($B58:$F58,{1,2,3,4,5},2))&gt;$B$5,"⚠Y-4 ","")&amp;IF(ABS(D58-TREND($B58:$F58,{1,2,3,4,5},3))/ABS(TREND($B58:$F58,{1,2,3,4,5},3))&gt;$B$5,"⚠Y-3 ","")&amp;IF(ABS(E58-TREND($B58:$F58,{1,2,3,4,5},4))/ABS(TREND($B58:$F58,{1,2,3,4,5},4))&gt;$B$5,"⚠Y-2 ","")&amp;IF(ABS(F58-TREND($B58:$F58,{1,2,3,4,5},5))/ABS(TREND($B58:$F58,{1,2,3,4,5},5))&gt;$B$5,"⚠Y-1 ","")))</f>
        <v/>
      </c>
      <c r="M58" s="122">
        <f t="shared" si="34"/>
        <v>1.0083194675540765</v>
      </c>
      <c r="N58" s="122">
        <f t="shared" si="35"/>
        <v>1.0082372322899504</v>
      </c>
      <c r="O58" s="122">
        <f t="shared" si="36"/>
        <v>1.0081566068515497</v>
      </c>
      <c r="P58" s="122">
        <f t="shared" si="37"/>
        <v>1.0049680624556423</v>
      </c>
      <c r="Q58" s="122">
        <f t="shared" si="38"/>
        <v>1.0074074074074073</v>
      </c>
      <c r="R58" s="123">
        <f t="shared" si="39"/>
        <v>1.0071605038292635</v>
      </c>
      <c r="S58" s="124" t="str">
        <f t="shared" si="40"/>
        <v>NS</v>
      </c>
      <c r="T58" s="125" t="str">
        <f t="shared" si="41"/>
        <v>NS</v>
      </c>
      <c r="U58" s="370" t="s">
        <v>232</v>
      </c>
      <c r="V58" s="126">
        <v>1.131956251868905E-2</v>
      </c>
      <c r="W58" s="127">
        <f t="shared" si="42"/>
        <v>137.53946050254171</v>
      </c>
      <c r="X58" s="150" t="s">
        <v>236</v>
      </c>
      <c r="Y58" s="150" t="s">
        <v>236</v>
      </c>
      <c r="Z58" s="150" t="s">
        <v>236</v>
      </c>
      <c r="AA58" s="131">
        <f t="shared" si="43"/>
        <v>156.46378147112063</v>
      </c>
      <c r="AB58" s="132" t="str">
        <f t="shared" si="44"/>
        <v/>
      </c>
      <c r="AC58" s="133">
        <f t="shared" si="45"/>
        <v>7.2446885320634454E-3</v>
      </c>
      <c r="AD58" s="133">
        <f t="shared" si="46"/>
        <v>1.2478866644767628E-2</v>
      </c>
      <c r="AE58" s="133">
        <f t="shared" si="47"/>
        <v>1.2617072602334209E-2</v>
      </c>
      <c r="AF58" s="134">
        <f t="shared" si="48"/>
        <v>0.77851267169056271</v>
      </c>
      <c r="AG58" s="135">
        <f>Données!G38</f>
        <v>0</v>
      </c>
      <c r="AH58" s="136">
        <f>Données!H38</f>
        <v>0</v>
      </c>
    </row>
    <row r="59" spans="1:34" ht="16.95" customHeight="1" x14ac:dyDescent="0.3">
      <c r="A59" s="110" t="s">
        <v>150</v>
      </c>
      <c r="B59" s="137">
        <f>Données!B39</f>
        <v>103</v>
      </c>
      <c r="C59" s="137">
        <f>Données!C39</f>
        <v>104</v>
      </c>
      <c r="D59" s="137">
        <f>Données!D39</f>
        <v>105</v>
      </c>
      <c r="E59" s="137">
        <f>Données!E39</f>
        <v>121</v>
      </c>
      <c r="F59" s="137">
        <f>Données!F39</f>
        <v>139</v>
      </c>
      <c r="G59" s="137">
        <f>IF(ABS(B59-TREND($B59:$F59,{1,2,3,4,5},1))/ABS(TREND($B59:$F59,{1,2,3,4,5},1))&gt;$B$5,TREND($B59:$F59,{1,2,3,4,5},1),B59)</f>
        <v>103</v>
      </c>
      <c r="H59" s="137">
        <f>IF(ABS(C59-TREND($B59:$F59,{1,2,3,4,5},2))/ABS(TREND($B59:$F59,{1,2,3,4,5},2))&gt;$B$5,TREND($B59:$F59,{1,2,3,4,5},2),C59)</f>
        <v>104</v>
      </c>
      <c r="I59" s="137">
        <f>IF(ABS(D59-TREND($B59:$F59,{1,2,3,4,5},3))/ABS(TREND($B59:$F59,{1,2,3,4,5},3))&gt;$B$5,TREND($B59:$F59,{1,2,3,4,5},3),D59)</f>
        <v>105</v>
      </c>
      <c r="J59" s="137">
        <f>IF(ABS(E59-TREND($B59:$F59,{1,2,3,4,5},4))/ABS(TREND($B59:$F59,{1,2,3,4,5},4))&gt;$B$5,TREND($B59:$F59,{1,2,3,4,5},4),E59)</f>
        <v>121</v>
      </c>
      <c r="K59" s="137">
        <f>IF(ABS(F59-TREND($B59:$F59,{1,2,3,4,5},5))/ABS(TREND($B59:$F59,{1,2,3,4,5},5))&gt;$B$5,TREND($B59:$F59,{1,2,3,4,5},5),F59)</f>
        <v>139</v>
      </c>
      <c r="L59" s="138" t="str">
        <f>IF(AND(ABS(B59-TREND($B59:$F59,{1,2,3,4,5},1))/ABS(TREND($B59:$F59,{1,2,3,4,5},1))&gt;$B$5&lt;=$B$5,ABS(C59-TREND($B59:$F59,{1,2,3,4,5},2))/ABS(TREND($B59:$F59,{1,2,3,4,5},2))&gt;$B$5&lt;=$B$5,ABS(D59-TREND($B59:$F59,{1,2,3,4,5},3))/ABS(TREND($B59:$F59,{1,2,3,4,5},3))&gt;$B$5&lt;=$B$5,ABS(E59-TREND($B59:$F59,{1,2,3,4,5},4))/ABS(TREND($B59:$F59,{1,2,3,4,5},4))&gt;$B$5&lt;=$B$5,ABS(F59-TREND($B59:$F59,{1,2,3,4,5},5))/ABS(TREND($B59:$F59,{1,2,3,4,5},5))&gt;$B$5&lt;=$B$5),"✓",TRIM(IF(ABS(B59-TREND($B59:$F59,{1,2,3,4,5},1))/ABS(TREND($B59:$F59,{1,2,3,4,5},1))&gt;$B$5,"⚠Y-5 ","")&amp;IF(ABS(C59-TREND($B59:$F59,{1,2,3,4,5},2))/ABS(TREND($B59:$F59,{1,2,3,4,5},2))&gt;$B$5,"⚠Y-4 ","")&amp;IF(ABS(D59-TREND($B59:$F59,{1,2,3,4,5},3))/ABS(TREND($B59:$F59,{1,2,3,4,5},3))&gt;$B$5,"⚠Y-3 ","")&amp;IF(ABS(E59-TREND($B59:$F59,{1,2,3,4,5},4))/ABS(TREND($B59:$F59,{1,2,3,4,5},4))&gt;$B$5,"⚠Y-2 ","")&amp;IF(ABS(F59-TREND($B59:$F59,{1,2,3,4,5},5))/ABS(TREND($B59:$F59,{1,2,3,4,5},5))&gt;$B$5,"⚠Y-1 ","")))</f>
        <v/>
      </c>
      <c r="M59" s="139">
        <f t="shared" si="34"/>
        <v>1.0282861896838602</v>
      </c>
      <c r="N59" s="139">
        <f t="shared" si="35"/>
        <v>1.0280065897858319</v>
      </c>
      <c r="O59" s="139">
        <f t="shared" si="36"/>
        <v>1.0277324632952691</v>
      </c>
      <c r="P59" s="139">
        <f t="shared" si="37"/>
        <v>1.0305180979418027</v>
      </c>
      <c r="Q59" s="139">
        <f t="shared" si="38"/>
        <v>1.0296296296296297</v>
      </c>
      <c r="R59" s="123">
        <f t="shared" si="39"/>
        <v>1.0292932723602419</v>
      </c>
      <c r="S59" s="124" t="str">
        <f t="shared" si="40"/>
        <v>NS</v>
      </c>
      <c r="T59" s="125" t="str">
        <f t="shared" si="41"/>
        <v>NS</v>
      </c>
      <c r="U59" s="370" t="s">
        <v>232</v>
      </c>
      <c r="V59" s="126">
        <v>1.131956251868905E-2</v>
      </c>
      <c r="W59" s="127">
        <f t="shared" si="42"/>
        <v>140.57341919009778</v>
      </c>
      <c r="X59" s="151" t="s">
        <v>236</v>
      </c>
      <c r="Y59" s="151" t="s">
        <v>236</v>
      </c>
      <c r="Z59" s="151" t="s">
        <v>236</v>
      </c>
      <c r="AA59" s="131">
        <f t="shared" si="43"/>
        <v>159.82866587957497</v>
      </c>
      <c r="AB59" s="143" t="str">
        <f t="shared" si="44"/>
        <v/>
      </c>
      <c r="AC59" s="133">
        <f t="shared" si="45"/>
        <v>7.2446885320634454E-3</v>
      </c>
      <c r="AD59" s="133">
        <f t="shared" si="46"/>
        <v>1.2478866644767628E-2</v>
      </c>
      <c r="AE59" s="133">
        <f t="shared" si="47"/>
        <v>1.2617072602334209E-2</v>
      </c>
      <c r="AF59" s="134">
        <f t="shared" si="48"/>
        <v>0.77851267169056271</v>
      </c>
      <c r="AG59" s="144">
        <f>Données!G39</f>
        <v>0</v>
      </c>
      <c r="AH59" s="145">
        <f>Données!H39</f>
        <v>0</v>
      </c>
    </row>
    <row r="60" spans="1:34" ht="16.95" customHeight="1" x14ac:dyDescent="0.3">
      <c r="A60" s="106" t="s">
        <v>151</v>
      </c>
      <c r="B60" s="120">
        <f>Données!B40</f>
        <v>100</v>
      </c>
      <c r="C60" s="120">
        <f>Données!C40</f>
        <v>101</v>
      </c>
      <c r="D60" s="120">
        <f>Données!D40</f>
        <v>102</v>
      </c>
      <c r="E60" s="120">
        <f>Données!E40</f>
        <v>117</v>
      </c>
      <c r="F60" s="120">
        <f>Données!F40</f>
        <v>135</v>
      </c>
      <c r="G60" s="120">
        <f>IF(ABS(B60-TREND($B60:$F60,{1,2,3,4,5},1))/ABS(TREND($B60:$F60,{1,2,3,4,5},1))&gt;$B$5,TREND($B60:$F60,{1,2,3,4,5},1),B60)</f>
        <v>100</v>
      </c>
      <c r="H60" s="120">
        <f>IF(ABS(C60-TREND($B60:$F60,{1,2,3,4,5},2))/ABS(TREND($B60:$F60,{1,2,3,4,5},2))&gt;$B$5,TREND($B60:$F60,{1,2,3,4,5},2),C60)</f>
        <v>101</v>
      </c>
      <c r="I60" s="120">
        <f>IF(ABS(D60-TREND($B60:$F60,{1,2,3,4,5},3))/ABS(TREND($B60:$F60,{1,2,3,4,5},3))&gt;$B$5,TREND($B60:$F60,{1,2,3,4,5},3),D60)</f>
        <v>102</v>
      </c>
      <c r="J60" s="120">
        <f>IF(ABS(E60-TREND($B60:$F60,{1,2,3,4,5},4))/ABS(TREND($B60:$F60,{1,2,3,4,5},4))&gt;$B$5,TREND($B60:$F60,{1,2,3,4,5},4),E60)</f>
        <v>117</v>
      </c>
      <c r="K60" s="120">
        <f>IF(ABS(F60-TREND($B60:$F60,{1,2,3,4,5},5))/ABS(TREND($B60:$F60,{1,2,3,4,5},5))&gt;$B$5,TREND($B60:$F60,{1,2,3,4,5},5),F60)</f>
        <v>135</v>
      </c>
      <c r="L60" s="121" t="str">
        <f>IF(AND(ABS(B60-TREND($B60:$F60,{1,2,3,4,5},1))/ABS(TREND($B60:$F60,{1,2,3,4,5},1))&gt;$B$5&lt;=$B$5,ABS(C60-TREND($B60:$F60,{1,2,3,4,5},2))/ABS(TREND($B60:$F60,{1,2,3,4,5},2))&gt;$B$5&lt;=$B$5,ABS(D60-TREND($B60:$F60,{1,2,3,4,5},3))/ABS(TREND($B60:$F60,{1,2,3,4,5},3))&gt;$B$5&lt;=$B$5,ABS(E60-TREND($B60:$F60,{1,2,3,4,5},4))/ABS(TREND($B60:$F60,{1,2,3,4,5},4))&gt;$B$5&lt;=$B$5,ABS(F60-TREND($B60:$F60,{1,2,3,4,5},5))/ABS(TREND($B60:$F60,{1,2,3,4,5},5))&gt;$B$5&lt;=$B$5),"✓",TRIM(IF(ABS(B60-TREND($B60:$F60,{1,2,3,4,5},1))/ABS(TREND($B60:$F60,{1,2,3,4,5},1))&gt;$B$5,"⚠Y-5 ","")&amp;IF(ABS(C60-TREND($B60:$F60,{1,2,3,4,5},2))/ABS(TREND($B60:$F60,{1,2,3,4,5},2))&gt;$B$5,"⚠Y-4 ","")&amp;IF(ABS(D60-TREND($B60:$F60,{1,2,3,4,5},3))/ABS(TREND($B60:$F60,{1,2,3,4,5},3))&gt;$B$5,"⚠Y-3 ","")&amp;IF(ABS(E60-TREND($B60:$F60,{1,2,3,4,5},4))/ABS(TREND($B60:$F60,{1,2,3,4,5},4))&gt;$B$5,"⚠Y-2 ","")&amp;IF(ABS(F60-TREND($B60:$F60,{1,2,3,4,5},5))/ABS(TREND($B60:$F60,{1,2,3,4,5},5))&gt;$B$5,"⚠Y-1 ","")))</f>
        <v/>
      </c>
      <c r="M60" s="122">
        <f t="shared" si="34"/>
        <v>0.99833610648918469</v>
      </c>
      <c r="N60" s="122">
        <f t="shared" si="35"/>
        <v>0.9983525535420098</v>
      </c>
      <c r="O60" s="122">
        <f t="shared" si="36"/>
        <v>0.99836867862969003</v>
      </c>
      <c r="P60" s="122">
        <f t="shared" si="37"/>
        <v>0.99645138396025545</v>
      </c>
      <c r="Q60" s="122">
        <f t="shared" si="38"/>
        <v>1</v>
      </c>
      <c r="R60" s="123">
        <f t="shared" si="39"/>
        <v>0.99879763926516485</v>
      </c>
      <c r="S60" s="124" t="str">
        <f t="shared" si="40"/>
        <v>NS</v>
      </c>
      <c r="T60" s="125" t="str">
        <f t="shared" si="41"/>
        <v>NS</v>
      </c>
      <c r="U60" s="370" t="s">
        <v>232</v>
      </c>
      <c r="V60" s="126">
        <v>1.131956251868905E-2</v>
      </c>
      <c r="W60" s="127">
        <f t="shared" si="42"/>
        <v>136.52814094002301</v>
      </c>
      <c r="X60" s="150" t="s">
        <v>236</v>
      </c>
      <c r="Y60" s="150" t="s">
        <v>236</v>
      </c>
      <c r="Z60" s="150" t="s">
        <v>236</v>
      </c>
      <c r="AA60" s="131">
        <f t="shared" si="43"/>
        <v>155.49434389140274</v>
      </c>
      <c r="AB60" s="132" t="str">
        <f t="shared" si="44"/>
        <v/>
      </c>
      <c r="AC60" s="133">
        <f t="shared" si="45"/>
        <v>7.2446885320634454E-3</v>
      </c>
      <c r="AD60" s="133">
        <f t="shared" si="46"/>
        <v>1.2478866644767628E-2</v>
      </c>
      <c r="AE60" s="133">
        <f t="shared" si="47"/>
        <v>1.2617072602334209E-2</v>
      </c>
      <c r="AF60" s="134">
        <f t="shared" si="48"/>
        <v>0.77851267169056271</v>
      </c>
      <c r="AG60" s="135">
        <f>Données!G40</f>
        <v>0</v>
      </c>
      <c r="AH60" s="136">
        <f>Données!H40</f>
        <v>0</v>
      </c>
    </row>
    <row r="61" spans="1:34" ht="16.95" customHeight="1" x14ac:dyDescent="0.3">
      <c r="A61" s="110" t="s">
        <v>152</v>
      </c>
      <c r="B61" s="137">
        <f>Données!B41</f>
        <v>98</v>
      </c>
      <c r="C61" s="137">
        <f>Données!C41</f>
        <v>99</v>
      </c>
      <c r="D61" s="137">
        <f>Données!D41</f>
        <v>100</v>
      </c>
      <c r="E61" s="137">
        <f>Données!E41</f>
        <v>115</v>
      </c>
      <c r="F61" s="137">
        <f>Données!F41</f>
        <v>132</v>
      </c>
      <c r="G61" s="137">
        <f>IF(ABS(B61-TREND($B61:$F61,{1,2,3,4,5},1))/ABS(TREND($B61:$F61,{1,2,3,4,5},1))&gt;$B$5,TREND($B61:$F61,{1,2,3,4,5},1),B61)</f>
        <v>98</v>
      </c>
      <c r="H61" s="137">
        <f>IF(ABS(C61-TREND($B61:$F61,{1,2,3,4,5},2))/ABS(TREND($B61:$F61,{1,2,3,4,5},2))&gt;$B$5,TREND($B61:$F61,{1,2,3,4,5},2),C61)</f>
        <v>99</v>
      </c>
      <c r="I61" s="137">
        <f>IF(ABS(D61-TREND($B61:$F61,{1,2,3,4,5},3))/ABS(TREND($B61:$F61,{1,2,3,4,5},3))&gt;$B$5,TREND($B61:$F61,{1,2,3,4,5},3),D61)</f>
        <v>100</v>
      </c>
      <c r="J61" s="137">
        <f>IF(ABS(E61-TREND($B61:$F61,{1,2,3,4,5},4))/ABS(TREND($B61:$F61,{1,2,3,4,5},4))&gt;$B$5,TREND($B61:$F61,{1,2,3,4,5},4),E61)</f>
        <v>115</v>
      </c>
      <c r="K61" s="137">
        <f>IF(ABS(F61-TREND($B61:$F61,{1,2,3,4,5},5))/ABS(TREND($B61:$F61,{1,2,3,4,5},5))&gt;$B$5,TREND($B61:$F61,{1,2,3,4,5},5),F61)</f>
        <v>132</v>
      </c>
      <c r="L61" s="138" t="str">
        <f>IF(AND(ABS(B61-TREND($B61:$F61,{1,2,3,4,5},1))/ABS(TREND($B61:$F61,{1,2,3,4,5},1))&gt;$B$5&lt;=$B$5,ABS(C61-TREND($B61:$F61,{1,2,3,4,5},2))/ABS(TREND($B61:$F61,{1,2,3,4,5},2))&gt;$B$5&lt;=$B$5,ABS(D61-TREND($B61:$F61,{1,2,3,4,5},3))/ABS(TREND($B61:$F61,{1,2,3,4,5},3))&gt;$B$5&lt;=$B$5,ABS(E61-TREND($B61:$F61,{1,2,3,4,5},4))/ABS(TREND($B61:$F61,{1,2,3,4,5},4))&gt;$B$5&lt;=$B$5,ABS(F61-TREND($B61:$F61,{1,2,3,4,5},5))/ABS(TREND($B61:$F61,{1,2,3,4,5},5))&gt;$B$5&lt;=$B$5),"✓",TRIM(IF(ABS(B61-TREND($B61:$F61,{1,2,3,4,5},1))/ABS(TREND($B61:$F61,{1,2,3,4,5},1))&gt;$B$5,"⚠Y-5 ","")&amp;IF(ABS(C61-TREND($B61:$F61,{1,2,3,4,5},2))/ABS(TREND($B61:$F61,{1,2,3,4,5},2))&gt;$B$5,"⚠Y-4 ","")&amp;IF(ABS(D61-TREND($B61:$F61,{1,2,3,4,5},3))/ABS(TREND($B61:$F61,{1,2,3,4,5},3))&gt;$B$5,"⚠Y-3 ","")&amp;IF(ABS(E61-TREND($B61:$F61,{1,2,3,4,5},4))/ABS(TREND($B61:$F61,{1,2,3,4,5},4))&gt;$B$5,"⚠Y-2 ","")&amp;IF(ABS(F61-TREND($B61:$F61,{1,2,3,4,5},5))/ABS(TREND($B61:$F61,{1,2,3,4,5},5))&gt;$B$5,"⚠Y-1 ","")))</f>
        <v/>
      </c>
      <c r="M61" s="139">
        <f t="shared" si="34"/>
        <v>0.97836938435940091</v>
      </c>
      <c r="N61" s="139">
        <f t="shared" si="35"/>
        <v>0.97858319604612842</v>
      </c>
      <c r="O61" s="139">
        <f t="shared" si="36"/>
        <v>0.97879282218597063</v>
      </c>
      <c r="P61" s="139">
        <f t="shared" si="37"/>
        <v>0.97941802696948188</v>
      </c>
      <c r="Q61" s="139">
        <f t="shared" si="38"/>
        <v>0.97777777777777775</v>
      </c>
      <c r="R61" s="123">
        <f t="shared" si="39"/>
        <v>0.97836820643326372</v>
      </c>
      <c r="S61" s="124" t="str">
        <f t="shared" si="40"/>
        <v>NS</v>
      </c>
      <c r="T61" s="125" t="str">
        <f t="shared" si="41"/>
        <v>NS</v>
      </c>
      <c r="U61" s="370" t="s">
        <v>232</v>
      </c>
      <c r="V61" s="126">
        <v>1.131956251868905E-2</v>
      </c>
      <c r="W61" s="127">
        <f t="shared" si="42"/>
        <v>133.49418225246694</v>
      </c>
      <c r="X61" s="151" t="s">
        <v>236</v>
      </c>
      <c r="Y61" s="151" t="s">
        <v>236</v>
      </c>
      <c r="Z61" s="151" t="s">
        <v>236</v>
      </c>
      <c r="AA61" s="131">
        <f t="shared" si="43"/>
        <v>151.59913043478264</v>
      </c>
      <c r="AB61" s="143" t="str">
        <f t="shared" si="44"/>
        <v/>
      </c>
      <c r="AC61" s="133">
        <f t="shared" si="45"/>
        <v>7.2446885320634454E-3</v>
      </c>
      <c r="AD61" s="133">
        <f t="shared" si="46"/>
        <v>1.2478866644767628E-2</v>
      </c>
      <c r="AE61" s="133">
        <f t="shared" si="47"/>
        <v>1.2617072602334209E-2</v>
      </c>
      <c r="AF61" s="134">
        <f t="shared" si="48"/>
        <v>0.77851267169056271</v>
      </c>
      <c r="AG61" s="144">
        <f>Données!G41</f>
        <v>0</v>
      </c>
      <c r="AH61" s="145">
        <f>Données!H41</f>
        <v>0</v>
      </c>
    </row>
    <row r="62" spans="1:34" ht="16.95" customHeight="1" x14ac:dyDescent="0.3">
      <c r="A62" s="106" t="s">
        <v>153</v>
      </c>
      <c r="B62" s="120">
        <f>Données!B42</f>
        <v>102</v>
      </c>
      <c r="C62" s="120">
        <f>Données!C42</f>
        <v>103</v>
      </c>
      <c r="D62" s="120">
        <f>Données!D42</f>
        <v>104</v>
      </c>
      <c r="E62" s="120">
        <f>Données!E42</f>
        <v>120</v>
      </c>
      <c r="F62" s="120">
        <f>Données!F42</f>
        <v>138</v>
      </c>
      <c r="G62" s="120">
        <f>IF(ABS(B62-TREND($B62:$F62,{1,2,3,4,5},1))/ABS(TREND($B62:$F62,{1,2,3,4,5},1))&gt;$B$5,TREND($B62:$F62,{1,2,3,4,5},1),B62)</f>
        <v>102</v>
      </c>
      <c r="H62" s="120">
        <f>IF(ABS(C62-TREND($B62:$F62,{1,2,3,4,5},2))/ABS(TREND($B62:$F62,{1,2,3,4,5},2))&gt;$B$5,TREND($B62:$F62,{1,2,3,4,5},2),C62)</f>
        <v>103</v>
      </c>
      <c r="I62" s="120">
        <f>IF(ABS(D62-TREND($B62:$F62,{1,2,3,4,5},3))/ABS(TREND($B62:$F62,{1,2,3,4,5},3))&gt;$B$5,TREND($B62:$F62,{1,2,3,4,5},3),D62)</f>
        <v>104</v>
      </c>
      <c r="J62" s="120">
        <f>IF(ABS(E62-TREND($B62:$F62,{1,2,3,4,5},4))/ABS(TREND($B62:$F62,{1,2,3,4,5},4))&gt;$B$5,TREND($B62:$F62,{1,2,3,4,5},4),E62)</f>
        <v>120</v>
      </c>
      <c r="K62" s="120">
        <f>IF(ABS(F62-TREND($B62:$F62,{1,2,3,4,5},5))/ABS(TREND($B62:$F62,{1,2,3,4,5},5))&gt;$B$5,TREND($B62:$F62,{1,2,3,4,5},5),F62)</f>
        <v>138</v>
      </c>
      <c r="L62" s="121" t="str">
        <f>IF(AND(ABS(B62-TREND($B62:$F62,{1,2,3,4,5},1))/ABS(TREND($B62:$F62,{1,2,3,4,5},1))&gt;$B$5&lt;=$B$5,ABS(C62-TREND($B62:$F62,{1,2,3,4,5},2))/ABS(TREND($B62:$F62,{1,2,3,4,5},2))&gt;$B$5&lt;=$B$5,ABS(D62-TREND($B62:$F62,{1,2,3,4,5},3))/ABS(TREND($B62:$F62,{1,2,3,4,5},3))&gt;$B$5&lt;=$B$5,ABS(E62-TREND($B62:$F62,{1,2,3,4,5},4))/ABS(TREND($B62:$F62,{1,2,3,4,5},4))&gt;$B$5&lt;=$B$5,ABS(F62-TREND($B62:$F62,{1,2,3,4,5},5))/ABS(TREND($B62:$F62,{1,2,3,4,5},5))&gt;$B$5&lt;=$B$5),"✓",TRIM(IF(ABS(B62-TREND($B62:$F62,{1,2,3,4,5},1))/ABS(TREND($B62:$F62,{1,2,3,4,5},1))&gt;$B$5,"⚠Y-5 ","")&amp;IF(ABS(C62-TREND($B62:$F62,{1,2,3,4,5},2))/ABS(TREND($B62:$F62,{1,2,3,4,5},2))&gt;$B$5,"⚠Y-4 ","")&amp;IF(ABS(D62-TREND($B62:$F62,{1,2,3,4,5},3))/ABS(TREND($B62:$F62,{1,2,3,4,5},3))&gt;$B$5,"⚠Y-3 ","")&amp;IF(ABS(E62-TREND($B62:$F62,{1,2,3,4,5},4))/ABS(TREND($B62:$F62,{1,2,3,4,5},4))&gt;$B$5,"⚠Y-2 ","")&amp;IF(ABS(F62-TREND($B62:$F62,{1,2,3,4,5},5))/ABS(TREND($B62:$F62,{1,2,3,4,5},5))&gt;$B$5,"⚠Y-1 ","")))</f>
        <v/>
      </c>
      <c r="M62" s="122">
        <f t="shared" si="34"/>
        <v>1.0183028286189684</v>
      </c>
      <c r="N62" s="122">
        <f t="shared" si="35"/>
        <v>1.0181219110378912</v>
      </c>
      <c r="O62" s="122">
        <f t="shared" si="36"/>
        <v>1.0179445350734093</v>
      </c>
      <c r="P62" s="122">
        <f t="shared" si="37"/>
        <v>1.0220014194464158</v>
      </c>
      <c r="Q62" s="122">
        <f t="shared" si="38"/>
        <v>1.0222222222222221</v>
      </c>
      <c r="R62" s="123">
        <f t="shared" si="39"/>
        <v>1.0209304077961432</v>
      </c>
      <c r="S62" s="124" t="str">
        <f t="shared" si="40"/>
        <v>NS</v>
      </c>
      <c r="T62" s="125" t="str">
        <f t="shared" si="41"/>
        <v>NS</v>
      </c>
      <c r="U62" s="370" t="s">
        <v>232</v>
      </c>
      <c r="V62" s="126">
        <v>1.131956251868905E-2</v>
      </c>
      <c r="W62" s="127">
        <f t="shared" si="42"/>
        <v>139.5620996275791</v>
      </c>
      <c r="X62" s="150" t="s">
        <v>236</v>
      </c>
      <c r="Y62" s="150" t="s">
        <v>236</v>
      </c>
      <c r="Z62" s="150" t="s">
        <v>236</v>
      </c>
      <c r="AA62" s="131">
        <f t="shared" si="43"/>
        <v>158.85923076923078</v>
      </c>
      <c r="AB62" s="132" t="str">
        <f t="shared" si="44"/>
        <v/>
      </c>
      <c r="AC62" s="133">
        <f t="shared" si="45"/>
        <v>7.2446885320634454E-3</v>
      </c>
      <c r="AD62" s="133">
        <f t="shared" si="46"/>
        <v>1.2478866644767628E-2</v>
      </c>
      <c r="AE62" s="133">
        <f t="shared" si="47"/>
        <v>1.2617072602334209E-2</v>
      </c>
      <c r="AF62" s="134">
        <f t="shared" si="48"/>
        <v>0.77851267169056271</v>
      </c>
      <c r="AG62" s="135">
        <f>Données!G42</f>
        <v>0</v>
      </c>
      <c r="AH62" s="136">
        <f>Données!H42</f>
        <v>0</v>
      </c>
    </row>
    <row r="63" spans="1:34" ht="16.95" customHeight="1" x14ac:dyDescent="0.3">
      <c r="A63" s="110" t="s">
        <v>154</v>
      </c>
      <c r="B63" s="137">
        <f>Données!B43</f>
        <v>104</v>
      </c>
      <c r="C63" s="137">
        <f>Données!C43</f>
        <v>105</v>
      </c>
      <c r="D63" s="137">
        <f>Données!D43</f>
        <v>106</v>
      </c>
      <c r="E63" s="137">
        <f>Données!E43</f>
        <v>122</v>
      </c>
      <c r="F63" s="137">
        <f>Données!F43</f>
        <v>140</v>
      </c>
      <c r="G63" s="137">
        <f>IF(ABS(B63-TREND($B63:$F63,{1,2,3,4,5},1))/ABS(TREND($B63:$F63,{1,2,3,4,5},1))&gt;$B$5,TREND($B63:$F63,{1,2,3,4,5},1),B63)</f>
        <v>104</v>
      </c>
      <c r="H63" s="137">
        <f>IF(ABS(C63-TREND($B63:$F63,{1,2,3,4,5},2))/ABS(TREND($B63:$F63,{1,2,3,4,5},2))&gt;$B$5,TREND($B63:$F63,{1,2,3,4,5},2),C63)</f>
        <v>105</v>
      </c>
      <c r="I63" s="137">
        <f>IF(ABS(D63-TREND($B63:$F63,{1,2,3,4,5},3))/ABS(TREND($B63:$F63,{1,2,3,4,5},3))&gt;$B$5,TREND($B63:$F63,{1,2,3,4,5},3),D63)</f>
        <v>106</v>
      </c>
      <c r="J63" s="137">
        <f>IF(ABS(E63-TREND($B63:$F63,{1,2,3,4,5},4))/ABS(TREND($B63:$F63,{1,2,3,4,5},4))&gt;$B$5,TREND($B63:$F63,{1,2,3,4,5},4),E63)</f>
        <v>122</v>
      </c>
      <c r="K63" s="137">
        <f>IF(ABS(F63-TREND($B63:$F63,{1,2,3,4,5},5))/ABS(TREND($B63:$F63,{1,2,3,4,5},5))&gt;$B$5,TREND($B63:$F63,{1,2,3,4,5},5),F63)</f>
        <v>140</v>
      </c>
      <c r="L63" s="138" t="str">
        <f>IF(AND(ABS(B63-TREND($B63:$F63,{1,2,3,4,5},1))/ABS(TREND($B63:$F63,{1,2,3,4,5},1))&gt;$B$5&lt;=$B$5,ABS(C63-TREND($B63:$F63,{1,2,3,4,5},2))/ABS(TREND($B63:$F63,{1,2,3,4,5},2))&gt;$B$5&lt;=$B$5,ABS(D63-TREND($B63:$F63,{1,2,3,4,5},3))/ABS(TREND($B63:$F63,{1,2,3,4,5},3))&gt;$B$5&lt;=$B$5,ABS(E63-TREND($B63:$F63,{1,2,3,4,5},4))/ABS(TREND($B63:$F63,{1,2,3,4,5},4))&gt;$B$5&lt;=$B$5,ABS(F63-TREND($B63:$F63,{1,2,3,4,5},5))/ABS(TREND($B63:$F63,{1,2,3,4,5},5))&gt;$B$5&lt;=$B$5),"✓",TRIM(IF(ABS(B63-TREND($B63:$F63,{1,2,3,4,5},1))/ABS(TREND($B63:$F63,{1,2,3,4,5},1))&gt;$B$5,"⚠Y-5 ","")&amp;IF(ABS(C63-TREND($B63:$F63,{1,2,3,4,5},2))/ABS(TREND($B63:$F63,{1,2,3,4,5},2))&gt;$B$5,"⚠Y-4 ","")&amp;IF(ABS(D63-TREND($B63:$F63,{1,2,3,4,5},3))/ABS(TREND($B63:$F63,{1,2,3,4,5},3))&gt;$B$5,"⚠Y-3 ","")&amp;IF(ABS(E63-TREND($B63:$F63,{1,2,3,4,5},4))/ABS(TREND($B63:$F63,{1,2,3,4,5},4))&gt;$B$5,"⚠Y-2 ","")&amp;IF(ABS(F63-TREND($B63:$F63,{1,2,3,4,5},5))/ABS(TREND($B63:$F63,{1,2,3,4,5},5))&gt;$B$5,"⚠Y-1 ","")))</f>
        <v/>
      </c>
      <c r="M63" s="139">
        <f t="shared" si="34"/>
        <v>1.038269550748752</v>
      </c>
      <c r="N63" s="139">
        <f t="shared" si="35"/>
        <v>1.0378912685337727</v>
      </c>
      <c r="O63" s="139">
        <f t="shared" si="36"/>
        <v>1.0375203915171289</v>
      </c>
      <c r="P63" s="139">
        <f t="shared" si="37"/>
        <v>1.0390347764371894</v>
      </c>
      <c r="Q63" s="139">
        <f t="shared" si="38"/>
        <v>1.037037037037037</v>
      </c>
      <c r="R63" s="123">
        <f t="shared" si="39"/>
        <v>1.0376561369243404</v>
      </c>
      <c r="S63" s="124" t="str">
        <f t="shared" si="40"/>
        <v>NS</v>
      </c>
      <c r="T63" s="125" t="str">
        <f t="shared" si="41"/>
        <v>NS</v>
      </c>
      <c r="U63" s="370" t="s">
        <v>232</v>
      </c>
      <c r="V63" s="126">
        <v>1.131956251868905E-2</v>
      </c>
      <c r="W63" s="127">
        <f t="shared" si="42"/>
        <v>141.58473875261646</v>
      </c>
      <c r="X63" s="151" t="s">
        <v>236</v>
      </c>
      <c r="Y63" s="151" t="s">
        <v>236</v>
      </c>
      <c r="Z63" s="151" t="s">
        <v>236</v>
      </c>
      <c r="AA63" s="131">
        <f t="shared" si="43"/>
        <v>160.79863903495206</v>
      </c>
      <c r="AB63" s="143" t="str">
        <f t="shared" si="44"/>
        <v/>
      </c>
      <c r="AC63" s="133">
        <f t="shared" si="45"/>
        <v>7.2446885320634454E-3</v>
      </c>
      <c r="AD63" s="133">
        <f t="shared" si="46"/>
        <v>1.2478866644767628E-2</v>
      </c>
      <c r="AE63" s="133">
        <f t="shared" si="47"/>
        <v>1.2617072602334209E-2</v>
      </c>
      <c r="AF63" s="134">
        <f t="shared" si="48"/>
        <v>0.77851267169056271</v>
      </c>
      <c r="AG63" s="144">
        <f>Données!G43</f>
        <v>0</v>
      </c>
      <c r="AH63" s="145">
        <f>Données!H43</f>
        <v>0</v>
      </c>
    </row>
    <row r="64" spans="1:34" ht="16.95" customHeight="1" x14ac:dyDescent="0.3">
      <c r="A64" s="106" t="s">
        <v>155</v>
      </c>
      <c r="B64" s="120">
        <f>Données!B44</f>
        <v>99</v>
      </c>
      <c r="C64" s="120">
        <f>Données!C44</f>
        <v>100</v>
      </c>
      <c r="D64" s="120">
        <f>Données!D44</f>
        <v>101</v>
      </c>
      <c r="E64" s="120">
        <f>Données!E44</f>
        <v>116</v>
      </c>
      <c r="F64" s="120">
        <f>Données!F44</f>
        <v>133</v>
      </c>
      <c r="G64" s="120">
        <f>IF(ABS(B64-TREND($B64:$F64,{1,2,3,4,5},1))/ABS(TREND($B64:$F64,{1,2,3,4,5},1))&gt;$B$5,TREND($B64:$F64,{1,2,3,4,5},1),B64)</f>
        <v>99</v>
      </c>
      <c r="H64" s="120">
        <f>IF(ABS(C64-TREND($B64:$F64,{1,2,3,4,5},2))/ABS(TREND($B64:$F64,{1,2,3,4,5},2))&gt;$B$5,TREND($B64:$F64,{1,2,3,4,5},2),C64)</f>
        <v>100</v>
      </c>
      <c r="I64" s="120">
        <f>IF(ABS(D64-TREND($B64:$F64,{1,2,3,4,5},3))/ABS(TREND($B64:$F64,{1,2,3,4,5},3))&gt;$B$5,TREND($B64:$F64,{1,2,3,4,5},3),D64)</f>
        <v>101</v>
      </c>
      <c r="J64" s="120">
        <f>IF(ABS(E64-TREND($B64:$F64,{1,2,3,4,5},4))/ABS(TREND($B64:$F64,{1,2,3,4,5},4))&gt;$B$5,TREND($B64:$F64,{1,2,3,4,5},4),E64)</f>
        <v>116</v>
      </c>
      <c r="K64" s="120">
        <f>IF(ABS(F64-TREND($B64:$F64,{1,2,3,4,5},5))/ABS(TREND($B64:$F64,{1,2,3,4,5},5))&gt;$B$5,TREND($B64:$F64,{1,2,3,4,5},5),F64)</f>
        <v>133</v>
      </c>
      <c r="L64" s="121" t="str">
        <f>IF(AND(ABS(B64-TREND($B64:$F64,{1,2,3,4,5},1))/ABS(TREND($B64:$F64,{1,2,3,4,5},1))&gt;$B$5&lt;=$B$5,ABS(C64-TREND($B64:$F64,{1,2,3,4,5},2))/ABS(TREND($B64:$F64,{1,2,3,4,5},2))&gt;$B$5&lt;=$B$5,ABS(D64-TREND($B64:$F64,{1,2,3,4,5},3))/ABS(TREND($B64:$F64,{1,2,3,4,5},3))&gt;$B$5&lt;=$B$5,ABS(E64-TREND($B64:$F64,{1,2,3,4,5},4))/ABS(TREND($B64:$F64,{1,2,3,4,5},4))&gt;$B$5&lt;=$B$5,ABS(F64-TREND($B64:$F64,{1,2,3,4,5},5))/ABS(TREND($B64:$F64,{1,2,3,4,5},5))&gt;$B$5&lt;=$B$5),"✓",TRIM(IF(ABS(B64-TREND($B64:$F64,{1,2,3,4,5},1))/ABS(TREND($B64:$F64,{1,2,3,4,5},1))&gt;$B$5,"⚠Y-5 ","")&amp;IF(ABS(C64-TREND($B64:$F64,{1,2,3,4,5},2))/ABS(TREND($B64:$F64,{1,2,3,4,5},2))&gt;$B$5,"⚠Y-4 ","")&amp;IF(ABS(D64-TREND($B64:$F64,{1,2,3,4,5},3))/ABS(TREND($B64:$F64,{1,2,3,4,5},3))&gt;$B$5,"⚠Y-3 ","")&amp;IF(ABS(E64-TREND($B64:$F64,{1,2,3,4,5},4))/ABS(TREND($B64:$F64,{1,2,3,4,5},4))&gt;$B$5,"⚠Y-2 ","")&amp;IF(ABS(F64-TREND($B64:$F64,{1,2,3,4,5},5))/ABS(TREND($B64:$F64,{1,2,3,4,5},5))&gt;$B$5,"⚠Y-1 ","")))</f>
        <v/>
      </c>
      <c r="M64" s="122">
        <f t="shared" si="34"/>
        <v>0.98835274542429274</v>
      </c>
      <c r="N64" s="122">
        <f t="shared" si="35"/>
        <v>0.98846787479406917</v>
      </c>
      <c r="O64" s="122">
        <f t="shared" si="36"/>
        <v>0.98858075040783033</v>
      </c>
      <c r="P64" s="122">
        <f t="shared" si="37"/>
        <v>0.98793470546486861</v>
      </c>
      <c r="Q64" s="122">
        <f t="shared" si="38"/>
        <v>0.98518518518518516</v>
      </c>
      <c r="R64" s="123">
        <f t="shared" si="39"/>
        <v>0.98673107099736246</v>
      </c>
      <c r="S64" s="124" t="str">
        <f t="shared" si="40"/>
        <v>NS</v>
      </c>
      <c r="T64" s="125" t="str">
        <f t="shared" si="41"/>
        <v>NS</v>
      </c>
      <c r="U64" s="370" t="s">
        <v>232</v>
      </c>
      <c r="V64" s="126">
        <v>1.131956251868905E-2</v>
      </c>
      <c r="W64" s="127">
        <f t="shared" si="42"/>
        <v>134.50550181498565</v>
      </c>
      <c r="X64" s="150" t="s">
        <v>236</v>
      </c>
      <c r="Y64" s="150" t="s">
        <v>236</v>
      </c>
      <c r="Z64" s="150" t="s">
        <v>236</v>
      </c>
      <c r="AA64" s="131">
        <f t="shared" si="43"/>
        <v>152.56970809149882</v>
      </c>
      <c r="AB64" s="132" t="str">
        <f t="shared" si="44"/>
        <v/>
      </c>
      <c r="AC64" s="133">
        <f t="shared" si="45"/>
        <v>7.2446885320634454E-3</v>
      </c>
      <c r="AD64" s="133">
        <f t="shared" si="46"/>
        <v>1.2478866644767628E-2</v>
      </c>
      <c r="AE64" s="133">
        <f t="shared" si="47"/>
        <v>1.2617072602334209E-2</v>
      </c>
      <c r="AF64" s="134">
        <f t="shared" si="48"/>
        <v>0.77851267169056271</v>
      </c>
      <c r="AG64" s="135">
        <f>Données!G44</f>
        <v>0</v>
      </c>
      <c r="AH64" s="136">
        <f>Données!H44</f>
        <v>0</v>
      </c>
    </row>
    <row r="65" spans="1:34" ht="16.95" customHeight="1" x14ac:dyDescent="0.3">
      <c r="A65" s="110" t="s">
        <v>156</v>
      </c>
      <c r="B65" s="137">
        <f>Données!B45</f>
        <v>101</v>
      </c>
      <c r="C65" s="137">
        <f>Données!C45</f>
        <v>102</v>
      </c>
      <c r="D65" s="137">
        <f>Données!D45</f>
        <v>103</v>
      </c>
      <c r="E65" s="137">
        <f>Données!E45</f>
        <v>118</v>
      </c>
      <c r="F65" s="137">
        <f>Données!F45</f>
        <v>136</v>
      </c>
      <c r="G65" s="137">
        <f>IF(ABS(B65-TREND($B65:$F65,{1,2,3,4,5},1))/ABS(TREND($B65:$F65,{1,2,3,4,5},1))&gt;$B$5,TREND($B65:$F65,{1,2,3,4,5},1),B65)</f>
        <v>101</v>
      </c>
      <c r="H65" s="137">
        <f>IF(ABS(C65-TREND($B65:$F65,{1,2,3,4,5},2))/ABS(TREND($B65:$F65,{1,2,3,4,5},2))&gt;$B$5,TREND($B65:$F65,{1,2,3,4,5},2),C65)</f>
        <v>102</v>
      </c>
      <c r="I65" s="137">
        <f>IF(ABS(D65-TREND($B65:$F65,{1,2,3,4,5},3))/ABS(TREND($B65:$F65,{1,2,3,4,5},3))&gt;$B$5,TREND($B65:$F65,{1,2,3,4,5},3),D65)</f>
        <v>103</v>
      </c>
      <c r="J65" s="137">
        <f>IF(ABS(E65-TREND($B65:$F65,{1,2,3,4,5},4))/ABS(TREND($B65:$F65,{1,2,3,4,5},4))&gt;$B$5,TREND($B65:$F65,{1,2,3,4,5},4),E65)</f>
        <v>118</v>
      </c>
      <c r="K65" s="137">
        <f>IF(ABS(F65-TREND($B65:$F65,{1,2,3,4,5},5))/ABS(TREND($B65:$F65,{1,2,3,4,5},5))&gt;$B$5,TREND($B65:$F65,{1,2,3,4,5},5),F65)</f>
        <v>136</v>
      </c>
      <c r="L65" s="138" t="str">
        <f>IF(AND(ABS(B65-TREND($B65:$F65,{1,2,3,4,5},1))/ABS(TREND($B65:$F65,{1,2,3,4,5},1))&gt;$B$5&lt;=$B$5,ABS(C65-TREND($B65:$F65,{1,2,3,4,5},2))/ABS(TREND($B65:$F65,{1,2,3,4,5},2))&gt;$B$5&lt;=$B$5,ABS(D65-TREND($B65:$F65,{1,2,3,4,5},3))/ABS(TREND($B65:$F65,{1,2,3,4,5},3))&gt;$B$5&lt;=$B$5,ABS(E65-TREND($B65:$F65,{1,2,3,4,5},4))/ABS(TREND($B65:$F65,{1,2,3,4,5},4))&gt;$B$5&lt;=$B$5,ABS(F65-TREND($B65:$F65,{1,2,3,4,5},5))/ABS(TREND($B65:$F65,{1,2,3,4,5},5))&gt;$B$5&lt;=$B$5),"✓",TRIM(IF(ABS(B65-TREND($B65:$F65,{1,2,3,4,5},1))/ABS(TREND($B65:$F65,{1,2,3,4,5},1))&gt;$B$5,"⚠Y-5 ","")&amp;IF(ABS(C65-TREND($B65:$F65,{1,2,3,4,5},2))/ABS(TREND($B65:$F65,{1,2,3,4,5},2))&gt;$B$5,"⚠Y-4 ","")&amp;IF(ABS(D65-TREND($B65:$F65,{1,2,3,4,5},3))/ABS(TREND($B65:$F65,{1,2,3,4,5},3))&gt;$B$5,"⚠Y-3 ","")&amp;IF(ABS(E65-TREND($B65:$F65,{1,2,3,4,5},4))/ABS(TREND($B65:$F65,{1,2,3,4,5},4))&gt;$B$5,"⚠Y-2 ","")&amp;IF(ABS(F65-TREND($B65:$F65,{1,2,3,4,5},5))/ABS(TREND($B65:$F65,{1,2,3,4,5},5))&gt;$B$5,"⚠Y-1 ","")))</f>
        <v/>
      </c>
      <c r="M65" s="139">
        <f t="shared" si="34"/>
        <v>1.0083194675540765</v>
      </c>
      <c r="N65" s="139">
        <f t="shared" si="35"/>
        <v>1.0082372322899504</v>
      </c>
      <c r="O65" s="139">
        <f t="shared" si="36"/>
        <v>1.0081566068515497</v>
      </c>
      <c r="P65" s="139">
        <f t="shared" si="37"/>
        <v>1.0049680624556423</v>
      </c>
      <c r="Q65" s="139">
        <f t="shared" si="38"/>
        <v>1.0074074074074073</v>
      </c>
      <c r="R65" s="123">
        <f t="shared" si="39"/>
        <v>1.0071605038292635</v>
      </c>
      <c r="S65" s="124" t="str">
        <f t="shared" si="40"/>
        <v>NS</v>
      </c>
      <c r="T65" s="125" t="str">
        <f t="shared" si="41"/>
        <v>NS</v>
      </c>
      <c r="U65" s="370" t="s">
        <v>232</v>
      </c>
      <c r="V65" s="126">
        <v>1.131956251868905E-2</v>
      </c>
      <c r="W65" s="127">
        <f t="shared" si="42"/>
        <v>137.53946050254171</v>
      </c>
      <c r="X65" s="151" t="s">
        <v>236</v>
      </c>
      <c r="Y65" s="151" t="s">
        <v>236</v>
      </c>
      <c r="Z65" s="151" t="s">
        <v>236</v>
      </c>
      <c r="AA65" s="131">
        <f t="shared" si="43"/>
        <v>156.46378147112063</v>
      </c>
      <c r="AB65" s="143" t="str">
        <f t="shared" si="44"/>
        <v/>
      </c>
      <c r="AC65" s="133">
        <f t="shared" si="45"/>
        <v>7.2446885320634454E-3</v>
      </c>
      <c r="AD65" s="133">
        <f t="shared" si="46"/>
        <v>1.2478866644767628E-2</v>
      </c>
      <c r="AE65" s="133">
        <f t="shared" si="47"/>
        <v>1.2617072602334209E-2</v>
      </c>
      <c r="AF65" s="134">
        <f t="shared" si="48"/>
        <v>0.77851267169056271</v>
      </c>
      <c r="AG65" s="144">
        <f>Données!G45</f>
        <v>0</v>
      </c>
      <c r="AH65" s="145">
        <f>Données!H45</f>
        <v>0</v>
      </c>
    </row>
    <row r="66" spans="1:34" ht="16.95" customHeight="1" x14ac:dyDescent="0.3">
      <c r="A66" s="106" t="s">
        <v>157</v>
      </c>
      <c r="B66" s="120">
        <f>Données!B46</f>
        <v>98</v>
      </c>
      <c r="C66" s="120">
        <f>Données!C46</f>
        <v>99</v>
      </c>
      <c r="D66" s="120">
        <f>Données!D46</f>
        <v>100</v>
      </c>
      <c r="E66" s="120">
        <f>Données!E46</f>
        <v>115</v>
      </c>
      <c r="F66" s="120">
        <f>Données!F46</f>
        <v>132</v>
      </c>
      <c r="G66" s="120">
        <f>IF(ABS(B66-TREND($B66:$F66,{1,2,3,4,5},1))/ABS(TREND($B66:$F66,{1,2,3,4,5},1))&gt;$B$5,TREND($B66:$F66,{1,2,3,4,5},1),B66)</f>
        <v>98</v>
      </c>
      <c r="H66" s="120">
        <f>IF(ABS(C66-TREND($B66:$F66,{1,2,3,4,5},2))/ABS(TREND($B66:$F66,{1,2,3,4,5},2))&gt;$B$5,TREND($B66:$F66,{1,2,3,4,5},2),C66)</f>
        <v>99</v>
      </c>
      <c r="I66" s="120">
        <f>IF(ABS(D66-TREND($B66:$F66,{1,2,3,4,5},3))/ABS(TREND($B66:$F66,{1,2,3,4,5},3))&gt;$B$5,TREND($B66:$F66,{1,2,3,4,5},3),D66)</f>
        <v>100</v>
      </c>
      <c r="J66" s="120">
        <f>IF(ABS(E66-TREND($B66:$F66,{1,2,3,4,5},4))/ABS(TREND($B66:$F66,{1,2,3,4,5},4))&gt;$B$5,TREND($B66:$F66,{1,2,3,4,5},4),E66)</f>
        <v>115</v>
      </c>
      <c r="K66" s="120">
        <f>IF(ABS(F66-TREND($B66:$F66,{1,2,3,4,5},5))/ABS(TREND($B66:$F66,{1,2,3,4,5},5))&gt;$B$5,TREND($B66:$F66,{1,2,3,4,5},5),F66)</f>
        <v>132</v>
      </c>
      <c r="L66" s="121" t="str">
        <f>IF(AND(ABS(B66-TREND($B66:$F66,{1,2,3,4,5},1))/ABS(TREND($B66:$F66,{1,2,3,4,5},1))&gt;$B$5&lt;=$B$5,ABS(C66-TREND($B66:$F66,{1,2,3,4,5},2))/ABS(TREND($B66:$F66,{1,2,3,4,5},2))&gt;$B$5&lt;=$B$5,ABS(D66-TREND($B66:$F66,{1,2,3,4,5},3))/ABS(TREND($B66:$F66,{1,2,3,4,5},3))&gt;$B$5&lt;=$B$5,ABS(E66-TREND($B66:$F66,{1,2,3,4,5},4))/ABS(TREND($B66:$F66,{1,2,3,4,5},4))&gt;$B$5&lt;=$B$5,ABS(F66-TREND($B66:$F66,{1,2,3,4,5},5))/ABS(TREND($B66:$F66,{1,2,3,4,5},5))&gt;$B$5&lt;=$B$5),"✓",TRIM(IF(ABS(B66-TREND($B66:$F66,{1,2,3,4,5},1))/ABS(TREND($B66:$F66,{1,2,3,4,5},1))&gt;$B$5,"⚠Y-5 ","")&amp;IF(ABS(C66-TREND($B66:$F66,{1,2,3,4,5},2))/ABS(TREND($B66:$F66,{1,2,3,4,5},2))&gt;$B$5,"⚠Y-4 ","")&amp;IF(ABS(D66-TREND($B66:$F66,{1,2,3,4,5},3))/ABS(TREND($B66:$F66,{1,2,3,4,5},3))&gt;$B$5,"⚠Y-3 ","")&amp;IF(ABS(E66-TREND($B66:$F66,{1,2,3,4,5},4))/ABS(TREND($B66:$F66,{1,2,3,4,5},4))&gt;$B$5,"⚠Y-2 ","")&amp;IF(ABS(F66-TREND($B66:$F66,{1,2,3,4,5},5))/ABS(TREND($B66:$F66,{1,2,3,4,5},5))&gt;$B$5,"⚠Y-1 ","")))</f>
        <v/>
      </c>
      <c r="M66" s="122">
        <f t="shared" si="34"/>
        <v>0.97836938435940091</v>
      </c>
      <c r="N66" s="122">
        <f t="shared" si="35"/>
        <v>0.97858319604612842</v>
      </c>
      <c r="O66" s="122">
        <f t="shared" si="36"/>
        <v>0.97879282218597063</v>
      </c>
      <c r="P66" s="122">
        <f t="shared" si="37"/>
        <v>0.97941802696948188</v>
      </c>
      <c r="Q66" s="122">
        <f t="shared" si="38"/>
        <v>0.97777777777777775</v>
      </c>
      <c r="R66" s="123">
        <f t="shared" si="39"/>
        <v>0.97836820643326372</v>
      </c>
      <c r="S66" s="124" t="str">
        <f t="shared" si="40"/>
        <v>NS</v>
      </c>
      <c r="T66" s="125" t="str">
        <f t="shared" si="41"/>
        <v>NS</v>
      </c>
      <c r="U66" s="370" t="s">
        <v>232</v>
      </c>
      <c r="V66" s="126">
        <v>1.131956251868905E-2</v>
      </c>
      <c r="W66" s="127">
        <f t="shared" si="42"/>
        <v>133.49418225246694</v>
      </c>
      <c r="X66" s="150" t="s">
        <v>236</v>
      </c>
      <c r="Y66" s="150" t="s">
        <v>236</v>
      </c>
      <c r="Z66" s="150" t="s">
        <v>236</v>
      </c>
      <c r="AA66" s="131">
        <f t="shared" si="43"/>
        <v>151.59913043478264</v>
      </c>
      <c r="AB66" s="132" t="str">
        <f t="shared" si="44"/>
        <v/>
      </c>
      <c r="AC66" s="133">
        <f t="shared" si="45"/>
        <v>7.2446885320634454E-3</v>
      </c>
      <c r="AD66" s="133">
        <f t="shared" si="46"/>
        <v>1.2478866644767628E-2</v>
      </c>
      <c r="AE66" s="133">
        <f t="shared" si="47"/>
        <v>1.2617072602334209E-2</v>
      </c>
      <c r="AF66" s="134">
        <f t="shared" si="48"/>
        <v>0.77851267169056271</v>
      </c>
      <c r="AG66" s="135">
        <f>Données!G46</f>
        <v>0</v>
      </c>
      <c r="AH66" s="136">
        <f>Données!H46</f>
        <v>0</v>
      </c>
    </row>
    <row r="67" spans="1:34" ht="16.95" customHeight="1" x14ac:dyDescent="0.3">
      <c r="A67" s="110" t="s">
        <v>158</v>
      </c>
      <c r="B67" s="137">
        <f>Données!B47</f>
        <v>100</v>
      </c>
      <c r="C67" s="137">
        <f>Données!C47</f>
        <v>101</v>
      </c>
      <c r="D67" s="137">
        <f>Données!D47</f>
        <v>102</v>
      </c>
      <c r="E67" s="137">
        <f>Données!E47</f>
        <v>117</v>
      </c>
      <c r="F67" s="137">
        <f>Données!F47</f>
        <v>135</v>
      </c>
      <c r="G67" s="137">
        <f>IF(ABS(B67-TREND($B67:$F67,{1,2,3,4,5},1))/ABS(TREND($B67:$F67,{1,2,3,4,5},1))&gt;$B$5,TREND($B67:$F67,{1,2,3,4,5},1),B67)</f>
        <v>100</v>
      </c>
      <c r="H67" s="137">
        <f>IF(ABS(C67-TREND($B67:$F67,{1,2,3,4,5},2))/ABS(TREND($B67:$F67,{1,2,3,4,5},2))&gt;$B$5,TREND($B67:$F67,{1,2,3,4,5},2),C67)</f>
        <v>101</v>
      </c>
      <c r="I67" s="137">
        <f>IF(ABS(D67-TREND($B67:$F67,{1,2,3,4,5},3))/ABS(TREND($B67:$F67,{1,2,3,4,5},3))&gt;$B$5,TREND($B67:$F67,{1,2,3,4,5},3),D67)</f>
        <v>102</v>
      </c>
      <c r="J67" s="137">
        <f>IF(ABS(E67-TREND($B67:$F67,{1,2,3,4,5},4))/ABS(TREND($B67:$F67,{1,2,3,4,5},4))&gt;$B$5,TREND($B67:$F67,{1,2,3,4,5},4),E67)</f>
        <v>117</v>
      </c>
      <c r="K67" s="137">
        <f>IF(ABS(F67-TREND($B67:$F67,{1,2,3,4,5},5))/ABS(TREND($B67:$F67,{1,2,3,4,5},5))&gt;$B$5,TREND($B67:$F67,{1,2,3,4,5},5),F67)</f>
        <v>135</v>
      </c>
      <c r="L67" s="138" t="str">
        <f>IF(AND(ABS(B67-TREND($B67:$F67,{1,2,3,4,5},1))/ABS(TREND($B67:$F67,{1,2,3,4,5},1))&gt;$B$5&lt;=$B$5,ABS(C67-TREND($B67:$F67,{1,2,3,4,5},2))/ABS(TREND($B67:$F67,{1,2,3,4,5},2))&gt;$B$5&lt;=$B$5,ABS(D67-TREND($B67:$F67,{1,2,3,4,5},3))/ABS(TREND($B67:$F67,{1,2,3,4,5},3))&gt;$B$5&lt;=$B$5,ABS(E67-TREND($B67:$F67,{1,2,3,4,5},4))/ABS(TREND($B67:$F67,{1,2,3,4,5},4))&gt;$B$5&lt;=$B$5,ABS(F67-TREND($B67:$F67,{1,2,3,4,5},5))/ABS(TREND($B67:$F67,{1,2,3,4,5},5))&gt;$B$5&lt;=$B$5),"✓",TRIM(IF(ABS(B67-TREND($B67:$F67,{1,2,3,4,5},1))/ABS(TREND($B67:$F67,{1,2,3,4,5},1))&gt;$B$5,"⚠Y-5 ","")&amp;IF(ABS(C67-TREND($B67:$F67,{1,2,3,4,5},2))/ABS(TREND($B67:$F67,{1,2,3,4,5},2))&gt;$B$5,"⚠Y-4 ","")&amp;IF(ABS(D67-TREND($B67:$F67,{1,2,3,4,5},3))/ABS(TREND($B67:$F67,{1,2,3,4,5},3))&gt;$B$5,"⚠Y-3 ","")&amp;IF(ABS(E67-TREND($B67:$F67,{1,2,3,4,5},4))/ABS(TREND($B67:$F67,{1,2,3,4,5},4))&gt;$B$5,"⚠Y-2 ","")&amp;IF(ABS(F67-TREND($B67:$F67,{1,2,3,4,5},5))/ABS(TREND($B67:$F67,{1,2,3,4,5},5))&gt;$B$5,"⚠Y-1 ","")))</f>
        <v/>
      </c>
      <c r="M67" s="139">
        <f t="shared" si="34"/>
        <v>0.99833610648918469</v>
      </c>
      <c r="N67" s="139">
        <f t="shared" si="35"/>
        <v>0.9983525535420098</v>
      </c>
      <c r="O67" s="139">
        <f t="shared" si="36"/>
        <v>0.99836867862969003</v>
      </c>
      <c r="P67" s="139">
        <f t="shared" si="37"/>
        <v>0.99645138396025545</v>
      </c>
      <c r="Q67" s="139">
        <f t="shared" si="38"/>
        <v>1</v>
      </c>
      <c r="R67" s="123">
        <f t="shared" si="39"/>
        <v>0.99879763926516485</v>
      </c>
      <c r="S67" s="124" t="str">
        <f t="shared" si="40"/>
        <v>NS</v>
      </c>
      <c r="T67" s="125" t="str">
        <f t="shared" si="41"/>
        <v>NS</v>
      </c>
      <c r="U67" s="370" t="s">
        <v>232</v>
      </c>
      <c r="V67" s="126">
        <v>1.131956251868905E-2</v>
      </c>
      <c r="W67" s="127">
        <f t="shared" si="42"/>
        <v>136.52814094002301</v>
      </c>
      <c r="X67" s="151" t="s">
        <v>236</v>
      </c>
      <c r="Y67" s="151" t="s">
        <v>236</v>
      </c>
      <c r="Z67" s="151" t="s">
        <v>236</v>
      </c>
      <c r="AA67" s="131">
        <f t="shared" si="43"/>
        <v>155.49434389140274</v>
      </c>
      <c r="AB67" s="143" t="str">
        <f t="shared" si="44"/>
        <v/>
      </c>
      <c r="AC67" s="133">
        <f t="shared" si="45"/>
        <v>7.2446885320634454E-3</v>
      </c>
      <c r="AD67" s="133">
        <f t="shared" si="46"/>
        <v>1.2478866644767628E-2</v>
      </c>
      <c r="AE67" s="133">
        <f t="shared" si="47"/>
        <v>1.2617072602334209E-2</v>
      </c>
      <c r="AF67" s="134">
        <f t="shared" si="48"/>
        <v>0.77851267169056271</v>
      </c>
      <c r="AG67" s="144">
        <f>Données!G47</f>
        <v>0</v>
      </c>
      <c r="AH67" s="145">
        <f>Données!H47</f>
        <v>0</v>
      </c>
    </row>
    <row r="68" spans="1:34" ht="18" customHeight="1" x14ac:dyDescent="0.3">
      <c r="A68" s="146" t="s">
        <v>29</v>
      </c>
      <c r="B68" s="147">
        <f t="shared" ref="B68:K68" si="49">SUM(B56:B67)</f>
        <v>1202</v>
      </c>
      <c r="C68" s="147">
        <f t="shared" si="49"/>
        <v>1214</v>
      </c>
      <c r="D68" s="147">
        <f t="shared" si="49"/>
        <v>1226</v>
      </c>
      <c r="E68" s="147">
        <f t="shared" si="49"/>
        <v>1409</v>
      </c>
      <c r="F68" s="147">
        <f t="shared" si="49"/>
        <v>1620</v>
      </c>
      <c r="G68" s="147">
        <f t="shared" si="49"/>
        <v>1202</v>
      </c>
      <c r="H68" s="147">
        <f t="shared" si="49"/>
        <v>1214</v>
      </c>
      <c r="I68" s="147">
        <f t="shared" si="49"/>
        <v>1226</v>
      </c>
      <c r="J68" s="147">
        <f t="shared" si="49"/>
        <v>1409</v>
      </c>
      <c r="K68" s="147">
        <f t="shared" si="49"/>
        <v>1620</v>
      </c>
      <c r="L68" s="148"/>
      <c r="M68" s="148"/>
      <c r="N68" s="148"/>
      <c r="O68" s="148"/>
      <c r="P68" s="148"/>
      <c r="Q68" s="148"/>
      <c r="R68" s="148"/>
      <c r="S68" s="148"/>
      <c r="T68" s="148"/>
      <c r="U68" s="148"/>
      <c r="V68" s="148"/>
      <c r="W68" s="147">
        <f>SUM(W56:W67)</f>
        <v>1638.337691280276</v>
      </c>
      <c r="X68" s="147">
        <f>SUM(X56:X67)</f>
        <v>0</v>
      </c>
      <c r="Y68" s="147">
        <f>SUM(Y56:Y67)</f>
        <v>0</v>
      </c>
      <c r="Z68" s="149">
        <f>SUM(Z56:Z67)</f>
        <v>0</v>
      </c>
      <c r="AA68" s="147">
        <f>SUM(AA56:AA67)</f>
        <v>1862.3695703194217</v>
      </c>
      <c r="AB68" s="148"/>
      <c r="AC68" s="148"/>
      <c r="AD68" s="148"/>
      <c r="AE68" s="148"/>
      <c r="AF68" s="148"/>
      <c r="AG68" s="148"/>
      <c r="AH68" s="148"/>
    </row>
    <row r="69" spans="1:34" ht="4.95" customHeight="1" x14ac:dyDescent="0.3">
      <c r="A69" s="48"/>
      <c r="B69" s="48"/>
      <c r="C69" s="48"/>
      <c r="D69" s="48"/>
      <c r="E69" s="48"/>
      <c r="F69" s="48"/>
      <c r="G69" s="48"/>
      <c r="H69" s="48"/>
      <c r="I69" s="48"/>
      <c r="J69" s="48"/>
      <c r="K69" s="48"/>
      <c r="L69" s="48"/>
      <c r="M69" s="48"/>
      <c r="N69" s="48"/>
      <c r="O69" s="48"/>
      <c r="P69" s="48"/>
      <c r="Q69" s="48"/>
      <c r="R69" s="48"/>
      <c r="S69" s="48"/>
      <c r="T69" s="48"/>
      <c r="U69" s="48"/>
    </row>
    <row r="70" spans="1:34" ht="16.05" customHeight="1" x14ac:dyDescent="0.3">
      <c r="A70" s="49" t="s">
        <v>237</v>
      </c>
      <c r="B70" s="50">
        <f>SUMPRODUCT(ABS(J56:J67*(J56:J67/I56:I67)-K56:K67)/K56:K67)/12</f>
        <v>3.5427689240948167E-3</v>
      </c>
      <c r="C70" s="381" t="s">
        <v>233</v>
      </c>
      <c r="D70" s="373"/>
      <c r="E70" s="373"/>
      <c r="F70" s="373"/>
      <c r="G70" s="373"/>
      <c r="H70" s="373"/>
      <c r="I70" s="373"/>
      <c r="J70" s="373"/>
      <c r="K70" s="373"/>
      <c r="L70" s="373"/>
      <c r="M70" s="373"/>
      <c r="N70" s="373"/>
      <c r="O70" s="373"/>
      <c r="P70" s="373"/>
      <c r="Q70" s="373"/>
      <c r="R70" s="373"/>
      <c r="S70" s="373"/>
      <c r="T70" s="374"/>
    </row>
    <row r="71" spans="1:34" ht="4.95" customHeight="1" x14ac:dyDescent="0.3">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row>
    <row r="72" spans="1:34" ht="18" customHeight="1" x14ac:dyDescent="0.3">
      <c r="A72" s="402" t="s">
        <v>238</v>
      </c>
      <c r="B72" s="373"/>
      <c r="C72" s="373"/>
      <c r="D72" s="373"/>
      <c r="E72" s="373"/>
      <c r="F72" s="373"/>
      <c r="G72" s="373"/>
      <c r="H72" s="373"/>
      <c r="I72" s="373"/>
      <c r="J72" s="373"/>
      <c r="K72" s="373"/>
      <c r="L72" s="373"/>
      <c r="M72" s="373"/>
      <c r="N72" s="373"/>
      <c r="O72" s="373"/>
      <c r="P72" s="373"/>
      <c r="Q72" s="373"/>
      <c r="R72" s="373"/>
      <c r="S72" s="373"/>
      <c r="T72" s="374"/>
    </row>
    <row r="73" spans="1:34" ht="16.95" customHeight="1" x14ac:dyDescent="0.3">
      <c r="A73" s="106" t="s">
        <v>147</v>
      </c>
      <c r="B73" s="120">
        <f>Données!B51</f>
        <v>97</v>
      </c>
      <c r="C73" s="120">
        <f>Données!C51</f>
        <v>102</v>
      </c>
      <c r="D73" s="120">
        <f>Données!D51</f>
        <v>107</v>
      </c>
      <c r="E73" s="120">
        <f>Données!E51</f>
        <v>112</v>
      </c>
      <c r="F73" s="120">
        <f>Données!F51</f>
        <v>118</v>
      </c>
      <c r="G73" s="120">
        <f>IF(ABS(B73-TREND($B73:$F73,{1,2,3,4,5},1))/ABS(TREND($B73:$F73,{1,2,3,4,5},1))&gt;$B$5,TREND($B73:$F73,{1,2,3,4,5},1),B73)</f>
        <v>97</v>
      </c>
      <c r="H73" s="120">
        <f>IF(ABS(C73-TREND($B73:$F73,{1,2,3,4,5},2))/ABS(TREND($B73:$F73,{1,2,3,4,5},2))&gt;$B$5,TREND($B73:$F73,{1,2,3,4,5},2),C73)</f>
        <v>102</v>
      </c>
      <c r="I73" s="120">
        <f>IF(ABS(D73-TREND($B73:$F73,{1,2,3,4,5},3))/ABS(TREND($B73:$F73,{1,2,3,4,5},3))&gt;$B$5,TREND($B73:$F73,{1,2,3,4,5},3),D73)</f>
        <v>107</v>
      </c>
      <c r="J73" s="120">
        <f>IF(ABS(E73-TREND($B73:$F73,{1,2,3,4,5},4))/ABS(TREND($B73:$F73,{1,2,3,4,5},4))&gt;$B$5,TREND($B73:$F73,{1,2,3,4,5},4),E73)</f>
        <v>112</v>
      </c>
      <c r="K73" s="120">
        <f>IF(ABS(F73-TREND($B73:$F73,{1,2,3,4,5},5))/ABS(TREND($B73:$F73,{1,2,3,4,5},5))&gt;$B$5,TREND($B73:$F73,{1,2,3,4,5},5),F73)</f>
        <v>118</v>
      </c>
      <c r="L73" s="121" t="str">
        <f>IF(AND(ABS(B73-TREND($B73:$F73,{1,2,3,4,5},1))/ABS(TREND($B73:$F73,{1,2,3,4,5},1))&gt;$B$5&lt;=$B$5,ABS(C73-TREND($B73:$F73,{1,2,3,4,5},2))/ABS(TREND($B73:$F73,{1,2,3,4,5},2))&gt;$B$5&lt;=$B$5,ABS(D73-TREND($B73:$F73,{1,2,3,4,5},3))/ABS(TREND($B73:$F73,{1,2,3,4,5},3))&gt;$B$5&lt;=$B$5,ABS(E73-TREND($B73:$F73,{1,2,3,4,5},4))/ABS(TREND($B73:$F73,{1,2,3,4,5},4))&gt;$B$5&lt;=$B$5,ABS(F73-TREND($B73:$F73,{1,2,3,4,5},5))/ABS(TREND($B73:$F73,{1,2,3,4,5},5))&gt;$B$5&lt;=$B$5),"✓",TRIM(IF(ABS(B73-TREND($B73:$F73,{1,2,3,4,5},1))/ABS(TREND($B73:$F73,{1,2,3,4,5},1))&gt;$B$5,"⚠Y-5 ","")&amp;IF(ABS(C73-TREND($B73:$F73,{1,2,3,4,5},2))/ABS(TREND($B73:$F73,{1,2,3,4,5},2))&gt;$B$5,"⚠Y-4 ","")&amp;IF(ABS(D73-TREND($B73:$F73,{1,2,3,4,5},3))/ABS(TREND($B73:$F73,{1,2,3,4,5},3))&gt;$B$5,"⚠Y-3 ","")&amp;IF(ABS(E73-TREND($B73:$F73,{1,2,3,4,5},4))/ABS(TREND($B73:$F73,{1,2,3,4,5},4))&gt;$B$5,"⚠Y-2 ","")&amp;IF(ABS(F73-TREND($B73:$F73,{1,2,3,4,5},5))/ABS(TREND($B73:$F73,{1,2,3,4,5},5))&gt;$B$5,"⚠Y-1 ","")))</f>
        <v/>
      </c>
      <c r="M73" s="122">
        <f t="shared" ref="M73:M84" si="50">G73/AVERAGE($G$73:$G$84)</f>
        <v>0.96838602329450907</v>
      </c>
      <c r="N73" s="122">
        <f t="shared" ref="N73:N84" si="51">H73/AVERAGE($H$73:$H$84)</f>
        <v>0.96988906497622818</v>
      </c>
      <c r="O73" s="122">
        <f t="shared" ref="O73:O84" si="52">I73/AVERAGE($I$73:$I$84)</f>
        <v>0.97125567322239026</v>
      </c>
      <c r="P73" s="122">
        <f t="shared" ref="P73:P84" si="53">J73/AVERAGE($J$73:$J$84)</f>
        <v>0.96760259179265662</v>
      </c>
      <c r="Q73" s="122">
        <f t="shared" ref="Q73:Q84" si="54">K73/AVERAGE($K$73:$K$84)</f>
        <v>0.93650793650793651</v>
      </c>
      <c r="R73" s="123">
        <f t="shared" ref="R73:R84" si="55">$B$8*M73+$B$9*N73+$B$10*O73+$B$11*P73+$B$12*Q73</f>
        <v>0.95287104525820643</v>
      </c>
      <c r="S73" s="124" t="str">
        <f t="shared" ref="S73:S84" si="56">IF(R73&lt;$B$6,"SB",IF(R73&gt;$B$7,"SH","NS"))</f>
        <v>NS</v>
      </c>
      <c r="T73" s="125" t="str">
        <f t="shared" ref="T73:T84" si="57">IF(SUMPRODUCT(--(M73:Q73&gt;$B$7))&gt;2.5,"SH",IF(SUMPRODUCT(--(M73:Q73&lt;$B$6))&gt;2.5,"SB","NS"))</f>
        <v>NS</v>
      </c>
      <c r="U73" s="371" t="s">
        <v>239</v>
      </c>
      <c r="V73" s="126">
        <v>7.3930738067038322E-3</v>
      </c>
      <c r="W73" s="127">
        <f t="shared" ref="W73:W84" si="58">K73*(1+V73)*(1+AG73*AH73)</f>
        <v>118.87238270919106</v>
      </c>
      <c r="X73" s="150" t="s">
        <v>236</v>
      </c>
      <c r="Y73" s="150" t="s">
        <v>236</v>
      </c>
      <c r="Z73" s="150" t="s">
        <v>236</v>
      </c>
      <c r="AA73" s="131">
        <f t="shared" ref="AA73:AA84" si="59">K73*($B$14*K73/J73+$B$15*J73/I73)*(1+AG73*AH73)</f>
        <v>124.07920560747664</v>
      </c>
      <c r="AB73" s="132" t="str">
        <f t="shared" ref="AB73:AB84" si="60">IF(SIGN(K73/J73-1)&lt;&gt;SIGN(J73/I73-1),"⚠ retournement",IF(ABS(K73/J73-J73/I73)&gt;$B$16,"⚡ accél.",""))</f>
        <v/>
      </c>
      <c r="AC73" s="133">
        <f t="shared" ref="AC73:AC84" si="61">IFERROR(SUMPRODUCT(($T$73:$T$84=T73)*(($K$73:$K$84/$G$73:$G$84-1)/48))/COUNTIF($T$73:$T$84,T73),0)</f>
        <v>5.3777004358113835E-3</v>
      </c>
      <c r="AD73" s="133">
        <f t="shared" ref="AD73:AD84" si="62">IFERROR(SUMPRODUCT(($T$73:$T$84=T73)*(($K$73:$K$84/$J$73:$J$84-1)/12))/COUNTIF($T$73:$T$84,T73),0)</f>
        <v>7.3930738067038322E-3</v>
      </c>
      <c r="AE73" s="133">
        <f t="shared" ref="AE73:AE84" si="63">IFERROR(IF(SUMPRODUCT(($T$73:$T$84=T73)*(ROW($T$73:$T$84)-ROW($T$73)+1&gt;9))&gt;0,SUMPRODUCT(($T$73:$T$84=T73)*(ROW($T$73:$T$84)-ROW($T$73)+1&gt;9)*(($K$73:$K$84/$J$73:$J$84-1)/12))/SUMPRODUCT(($T$73:$T$84=T73)*(ROW($T$73:$T$84)-ROW($T$73)+1&gt;9)),AD73),AD73)</f>
        <v>1.6622135601639214E-2</v>
      </c>
      <c r="AF73" s="134">
        <f t="shared" ref="AF73:AF84" si="64">MIN($J$9,$B$14+($J$9-$B$14)*MIN(1,IFERROR(ABS(AC73-AD73)/$J$8,1)))</f>
        <v>0.73023060056338673</v>
      </c>
      <c r="AG73" s="135">
        <f>Données!G51</f>
        <v>0</v>
      </c>
      <c r="AH73" s="136">
        <f>Données!H51</f>
        <v>0</v>
      </c>
    </row>
    <row r="74" spans="1:34" ht="16.95" customHeight="1" x14ac:dyDescent="0.3">
      <c r="A74" s="110" t="s">
        <v>148</v>
      </c>
      <c r="B74" s="137">
        <f>Données!B52</f>
        <v>99</v>
      </c>
      <c r="C74" s="137">
        <f>Données!C52</f>
        <v>104</v>
      </c>
      <c r="D74" s="137">
        <f>Données!D52</f>
        <v>109</v>
      </c>
      <c r="E74" s="137">
        <f>Données!E52</f>
        <v>114</v>
      </c>
      <c r="F74" s="137">
        <f>Données!F52</f>
        <v>120</v>
      </c>
      <c r="G74" s="137">
        <f>IF(ABS(B74-TREND($B74:$F74,{1,2,3,4,5},1))/ABS(TREND($B74:$F74,{1,2,3,4,5},1))&gt;$B$5,TREND($B74:$F74,{1,2,3,4,5},1),B74)</f>
        <v>99</v>
      </c>
      <c r="H74" s="137">
        <f>IF(ABS(C74-TREND($B74:$F74,{1,2,3,4,5},2))/ABS(TREND($B74:$F74,{1,2,3,4,5},2))&gt;$B$5,TREND($B74:$F74,{1,2,3,4,5},2),C74)</f>
        <v>104</v>
      </c>
      <c r="I74" s="137">
        <f>IF(ABS(D74-TREND($B74:$F74,{1,2,3,4,5},3))/ABS(TREND($B74:$F74,{1,2,3,4,5},3))&gt;$B$5,TREND($B74:$F74,{1,2,3,4,5},3),D74)</f>
        <v>109</v>
      </c>
      <c r="J74" s="137">
        <f>IF(ABS(E74-TREND($B74:$F74,{1,2,3,4,5},4))/ABS(TREND($B74:$F74,{1,2,3,4,5},4))&gt;$B$5,TREND($B74:$F74,{1,2,3,4,5},4),E74)</f>
        <v>114</v>
      </c>
      <c r="K74" s="137">
        <f>IF(ABS(F74-TREND($B74:$F74,{1,2,3,4,5},5))/ABS(TREND($B74:$F74,{1,2,3,4,5},5))&gt;$B$5,TREND($B74:$F74,{1,2,3,4,5},5),F74)</f>
        <v>120</v>
      </c>
      <c r="L74" s="138" t="str">
        <f>IF(AND(ABS(B74-TREND($B74:$F74,{1,2,3,4,5},1))/ABS(TREND($B74:$F74,{1,2,3,4,5},1))&gt;$B$5&lt;=$B$5,ABS(C74-TREND($B74:$F74,{1,2,3,4,5},2))/ABS(TREND($B74:$F74,{1,2,3,4,5},2))&gt;$B$5&lt;=$B$5,ABS(D74-TREND($B74:$F74,{1,2,3,4,5},3))/ABS(TREND($B74:$F74,{1,2,3,4,5},3))&gt;$B$5&lt;=$B$5,ABS(E74-TREND($B74:$F74,{1,2,3,4,5},4))/ABS(TREND($B74:$F74,{1,2,3,4,5},4))&gt;$B$5&lt;=$B$5,ABS(F74-TREND($B74:$F74,{1,2,3,4,5},5))/ABS(TREND($B74:$F74,{1,2,3,4,5},5))&gt;$B$5&lt;=$B$5),"✓",TRIM(IF(ABS(B74-TREND($B74:$F74,{1,2,3,4,5},1))/ABS(TREND($B74:$F74,{1,2,3,4,5},1))&gt;$B$5,"⚠Y-5 ","")&amp;IF(ABS(C74-TREND($B74:$F74,{1,2,3,4,5},2))/ABS(TREND($B74:$F74,{1,2,3,4,5},2))&gt;$B$5,"⚠Y-4 ","")&amp;IF(ABS(D74-TREND($B74:$F74,{1,2,3,4,5},3))/ABS(TREND($B74:$F74,{1,2,3,4,5},3))&gt;$B$5,"⚠Y-3 ","")&amp;IF(ABS(E74-TREND($B74:$F74,{1,2,3,4,5},4))/ABS(TREND($B74:$F74,{1,2,3,4,5},4))&gt;$B$5,"⚠Y-2 ","")&amp;IF(ABS(F74-TREND($B74:$F74,{1,2,3,4,5},5))/ABS(TREND($B74:$F74,{1,2,3,4,5},5))&gt;$B$5,"⚠Y-1 ","")))</f>
        <v/>
      </c>
      <c r="M74" s="139">
        <f t="shared" si="50"/>
        <v>0.98835274542429274</v>
      </c>
      <c r="N74" s="139">
        <f t="shared" si="51"/>
        <v>0.9889064976228209</v>
      </c>
      <c r="O74" s="139">
        <f t="shared" si="52"/>
        <v>0.98940998487140697</v>
      </c>
      <c r="P74" s="139">
        <f t="shared" si="53"/>
        <v>0.98488120950323976</v>
      </c>
      <c r="Q74" s="139">
        <f t="shared" si="54"/>
        <v>0.95238095238095233</v>
      </c>
      <c r="R74" s="123">
        <f t="shared" si="55"/>
        <v>0.96988650285533196</v>
      </c>
      <c r="S74" s="124" t="str">
        <f t="shared" si="56"/>
        <v>NS</v>
      </c>
      <c r="T74" s="125" t="str">
        <f t="shared" si="57"/>
        <v>NS</v>
      </c>
      <c r="U74" s="371" t="s">
        <v>239</v>
      </c>
      <c r="V74" s="126">
        <v>7.3930738067038322E-3</v>
      </c>
      <c r="W74" s="127">
        <f t="shared" si="58"/>
        <v>120.88716885680446</v>
      </c>
      <c r="X74" s="151" t="s">
        <v>236</v>
      </c>
      <c r="Y74" s="151" t="s">
        <v>236</v>
      </c>
      <c r="Z74" s="151" t="s">
        <v>236</v>
      </c>
      <c r="AA74" s="131">
        <f t="shared" si="59"/>
        <v>126.07242877836794</v>
      </c>
      <c r="AB74" s="143" t="str">
        <f t="shared" si="60"/>
        <v/>
      </c>
      <c r="AC74" s="133">
        <f t="shared" si="61"/>
        <v>5.3777004358113835E-3</v>
      </c>
      <c r="AD74" s="133">
        <f t="shared" si="62"/>
        <v>7.3930738067038322E-3</v>
      </c>
      <c r="AE74" s="133">
        <f t="shared" si="63"/>
        <v>1.6622135601639214E-2</v>
      </c>
      <c r="AF74" s="134">
        <f t="shared" si="64"/>
        <v>0.73023060056338673</v>
      </c>
      <c r="AG74" s="144">
        <f>Données!G52</f>
        <v>0</v>
      </c>
      <c r="AH74" s="145">
        <f>Données!H52</f>
        <v>0</v>
      </c>
    </row>
    <row r="75" spans="1:34" ht="16.95" customHeight="1" x14ac:dyDescent="0.3">
      <c r="A75" s="106" t="s">
        <v>149</v>
      </c>
      <c r="B75" s="120">
        <f>Données!B53</f>
        <v>101</v>
      </c>
      <c r="C75" s="120">
        <f>Données!C53</f>
        <v>106</v>
      </c>
      <c r="D75" s="120">
        <f>Données!D53</f>
        <v>111</v>
      </c>
      <c r="E75" s="120">
        <f>Données!E53</f>
        <v>117</v>
      </c>
      <c r="F75" s="120">
        <f>Données!F53</f>
        <v>123</v>
      </c>
      <c r="G75" s="120">
        <f>IF(ABS(B75-TREND($B75:$F75,{1,2,3,4,5},1))/ABS(TREND($B75:$F75,{1,2,3,4,5},1))&gt;$B$5,TREND($B75:$F75,{1,2,3,4,5},1),B75)</f>
        <v>101</v>
      </c>
      <c r="H75" s="120">
        <f>IF(ABS(C75-TREND($B75:$F75,{1,2,3,4,5},2))/ABS(TREND($B75:$F75,{1,2,3,4,5},2))&gt;$B$5,TREND($B75:$F75,{1,2,3,4,5},2),C75)</f>
        <v>106</v>
      </c>
      <c r="I75" s="120">
        <f>IF(ABS(D75-TREND($B75:$F75,{1,2,3,4,5},3))/ABS(TREND($B75:$F75,{1,2,3,4,5},3))&gt;$B$5,TREND($B75:$F75,{1,2,3,4,5},3),D75)</f>
        <v>111</v>
      </c>
      <c r="J75" s="120">
        <f>IF(ABS(E75-TREND($B75:$F75,{1,2,3,4,5},4))/ABS(TREND($B75:$F75,{1,2,3,4,5},4))&gt;$B$5,TREND($B75:$F75,{1,2,3,4,5},4),E75)</f>
        <v>117</v>
      </c>
      <c r="K75" s="120">
        <f>IF(ABS(F75-TREND($B75:$F75,{1,2,3,4,5},5))/ABS(TREND($B75:$F75,{1,2,3,4,5},5))&gt;$B$5,TREND($B75:$F75,{1,2,3,4,5},5),F75)</f>
        <v>123</v>
      </c>
      <c r="L75" s="121" t="str">
        <f>IF(AND(ABS(B75-TREND($B75:$F75,{1,2,3,4,5},1))/ABS(TREND($B75:$F75,{1,2,3,4,5},1))&gt;$B$5&lt;=$B$5,ABS(C75-TREND($B75:$F75,{1,2,3,4,5},2))/ABS(TREND($B75:$F75,{1,2,3,4,5},2))&gt;$B$5&lt;=$B$5,ABS(D75-TREND($B75:$F75,{1,2,3,4,5},3))/ABS(TREND($B75:$F75,{1,2,3,4,5},3))&gt;$B$5&lt;=$B$5,ABS(E75-TREND($B75:$F75,{1,2,3,4,5},4))/ABS(TREND($B75:$F75,{1,2,3,4,5},4))&gt;$B$5&lt;=$B$5,ABS(F75-TREND($B75:$F75,{1,2,3,4,5},5))/ABS(TREND($B75:$F75,{1,2,3,4,5},5))&gt;$B$5&lt;=$B$5),"✓",TRIM(IF(ABS(B75-TREND($B75:$F75,{1,2,3,4,5},1))/ABS(TREND($B75:$F75,{1,2,3,4,5},1))&gt;$B$5,"⚠Y-5 ","")&amp;IF(ABS(C75-TREND($B75:$F75,{1,2,3,4,5},2))/ABS(TREND($B75:$F75,{1,2,3,4,5},2))&gt;$B$5,"⚠Y-4 ","")&amp;IF(ABS(D75-TREND($B75:$F75,{1,2,3,4,5},3))/ABS(TREND($B75:$F75,{1,2,3,4,5},3))&gt;$B$5,"⚠Y-3 ","")&amp;IF(ABS(E75-TREND($B75:$F75,{1,2,3,4,5},4))/ABS(TREND($B75:$F75,{1,2,3,4,5},4))&gt;$B$5,"⚠Y-2 ","")&amp;IF(ABS(F75-TREND($B75:$F75,{1,2,3,4,5},5))/ABS(TREND($B75:$F75,{1,2,3,4,5},5))&gt;$B$5,"⚠Y-1 ","")))</f>
        <v/>
      </c>
      <c r="M75" s="122">
        <f t="shared" si="50"/>
        <v>1.0083194675540765</v>
      </c>
      <c r="N75" s="122">
        <f t="shared" si="51"/>
        <v>1.0079239302694136</v>
      </c>
      <c r="O75" s="122">
        <f t="shared" si="52"/>
        <v>1.0075642965204235</v>
      </c>
      <c r="P75" s="122">
        <f t="shared" si="53"/>
        <v>1.0107991360691144</v>
      </c>
      <c r="Q75" s="122">
        <f t="shared" si="54"/>
        <v>0.97619047619047616</v>
      </c>
      <c r="R75" s="123">
        <f t="shared" si="55"/>
        <v>0.99259807619176965</v>
      </c>
      <c r="S75" s="124" t="str">
        <f t="shared" si="56"/>
        <v>NS</v>
      </c>
      <c r="T75" s="125" t="str">
        <f t="shared" si="57"/>
        <v>NS</v>
      </c>
      <c r="U75" s="371" t="s">
        <v>239</v>
      </c>
      <c r="V75" s="126">
        <v>7.3930738067038322E-3</v>
      </c>
      <c r="W75" s="127">
        <f t="shared" si="58"/>
        <v>123.90934807822457</v>
      </c>
      <c r="X75" s="150" t="s">
        <v>236</v>
      </c>
      <c r="Y75" s="150" t="s">
        <v>236</v>
      </c>
      <c r="Z75" s="150" t="s">
        <v>236</v>
      </c>
      <c r="AA75" s="131">
        <f t="shared" si="59"/>
        <v>129.40997920997924</v>
      </c>
      <c r="AB75" s="132" t="str">
        <f t="shared" si="60"/>
        <v/>
      </c>
      <c r="AC75" s="133">
        <f t="shared" si="61"/>
        <v>5.3777004358113835E-3</v>
      </c>
      <c r="AD75" s="133">
        <f t="shared" si="62"/>
        <v>7.3930738067038322E-3</v>
      </c>
      <c r="AE75" s="133">
        <f t="shared" si="63"/>
        <v>1.6622135601639214E-2</v>
      </c>
      <c r="AF75" s="134">
        <f t="shared" si="64"/>
        <v>0.73023060056338673</v>
      </c>
      <c r="AG75" s="135">
        <f>Données!G53</f>
        <v>0</v>
      </c>
      <c r="AH75" s="136">
        <f>Données!H53</f>
        <v>0</v>
      </c>
    </row>
    <row r="76" spans="1:34" ht="16.95" customHeight="1" x14ac:dyDescent="0.3">
      <c r="A76" s="110" t="s">
        <v>150</v>
      </c>
      <c r="B76" s="137">
        <f>Données!B54</f>
        <v>103</v>
      </c>
      <c r="C76" s="137">
        <f>Données!C54</f>
        <v>108</v>
      </c>
      <c r="D76" s="137">
        <f>Données!D54</f>
        <v>113</v>
      </c>
      <c r="E76" s="137">
        <f>Données!E54</f>
        <v>119</v>
      </c>
      <c r="F76" s="137">
        <f>Données!F54</f>
        <v>125</v>
      </c>
      <c r="G76" s="137">
        <f>IF(ABS(B76-TREND($B76:$F76,{1,2,3,4,5},1))/ABS(TREND($B76:$F76,{1,2,3,4,5},1))&gt;$B$5,TREND($B76:$F76,{1,2,3,4,5},1),B76)</f>
        <v>103</v>
      </c>
      <c r="H76" s="137">
        <f>IF(ABS(C76-TREND($B76:$F76,{1,2,3,4,5},2))/ABS(TREND($B76:$F76,{1,2,3,4,5},2))&gt;$B$5,TREND($B76:$F76,{1,2,3,4,5},2),C76)</f>
        <v>108</v>
      </c>
      <c r="I76" s="137">
        <f>IF(ABS(D76-TREND($B76:$F76,{1,2,3,4,5},3))/ABS(TREND($B76:$F76,{1,2,3,4,5},3))&gt;$B$5,TREND($B76:$F76,{1,2,3,4,5},3),D76)</f>
        <v>113</v>
      </c>
      <c r="J76" s="137">
        <f>IF(ABS(E76-TREND($B76:$F76,{1,2,3,4,5},4))/ABS(TREND($B76:$F76,{1,2,3,4,5},4))&gt;$B$5,TREND($B76:$F76,{1,2,3,4,5},4),E76)</f>
        <v>119</v>
      </c>
      <c r="K76" s="137">
        <f>IF(ABS(F76-TREND($B76:$F76,{1,2,3,4,5},5))/ABS(TREND($B76:$F76,{1,2,3,4,5},5))&gt;$B$5,TREND($B76:$F76,{1,2,3,4,5},5),F76)</f>
        <v>125</v>
      </c>
      <c r="L76" s="138" t="str">
        <f>IF(AND(ABS(B76-TREND($B76:$F76,{1,2,3,4,5},1))/ABS(TREND($B76:$F76,{1,2,3,4,5},1))&gt;$B$5&lt;=$B$5,ABS(C76-TREND($B76:$F76,{1,2,3,4,5},2))/ABS(TREND($B76:$F76,{1,2,3,4,5},2))&gt;$B$5&lt;=$B$5,ABS(D76-TREND($B76:$F76,{1,2,3,4,5},3))/ABS(TREND($B76:$F76,{1,2,3,4,5},3))&gt;$B$5&lt;=$B$5,ABS(E76-TREND($B76:$F76,{1,2,3,4,5},4))/ABS(TREND($B76:$F76,{1,2,3,4,5},4))&gt;$B$5&lt;=$B$5,ABS(F76-TREND($B76:$F76,{1,2,3,4,5},5))/ABS(TREND($B76:$F76,{1,2,3,4,5},5))&gt;$B$5&lt;=$B$5),"✓",TRIM(IF(ABS(B76-TREND($B76:$F76,{1,2,3,4,5},1))/ABS(TREND($B76:$F76,{1,2,3,4,5},1))&gt;$B$5,"⚠Y-5 ","")&amp;IF(ABS(C76-TREND($B76:$F76,{1,2,3,4,5},2))/ABS(TREND($B76:$F76,{1,2,3,4,5},2))&gt;$B$5,"⚠Y-4 ","")&amp;IF(ABS(D76-TREND($B76:$F76,{1,2,3,4,5},3))/ABS(TREND($B76:$F76,{1,2,3,4,5},3))&gt;$B$5,"⚠Y-3 ","")&amp;IF(ABS(E76-TREND($B76:$F76,{1,2,3,4,5},4))/ABS(TREND($B76:$F76,{1,2,3,4,5},4))&gt;$B$5,"⚠Y-2 ","")&amp;IF(ABS(F76-TREND($B76:$F76,{1,2,3,4,5},5))/ABS(TREND($B76:$F76,{1,2,3,4,5},5))&gt;$B$5,"⚠Y-1 ","")))</f>
        <v/>
      </c>
      <c r="M76" s="139">
        <f t="shared" si="50"/>
        <v>1.0282861896838602</v>
      </c>
      <c r="N76" s="139">
        <f t="shared" si="51"/>
        <v>1.0269413629160062</v>
      </c>
      <c r="O76" s="139">
        <f t="shared" si="52"/>
        <v>1.0257186081694403</v>
      </c>
      <c r="P76" s="139">
        <f t="shared" si="53"/>
        <v>1.0280777537796977</v>
      </c>
      <c r="Q76" s="139">
        <f t="shared" si="54"/>
        <v>0.99206349206349209</v>
      </c>
      <c r="R76" s="123">
        <f t="shared" si="55"/>
        <v>1.0096135337888952</v>
      </c>
      <c r="S76" s="124" t="str">
        <f t="shared" si="56"/>
        <v>NS</v>
      </c>
      <c r="T76" s="125" t="str">
        <f t="shared" si="57"/>
        <v>NS</v>
      </c>
      <c r="U76" s="371" t="s">
        <v>239</v>
      </c>
      <c r="V76" s="126">
        <v>7.3930738067038322E-3</v>
      </c>
      <c r="W76" s="127">
        <f t="shared" si="58"/>
        <v>125.92413422583797</v>
      </c>
      <c r="X76" s="151" t="s">
        <v>236</v>
      </c>
      <c r="Y76" s="151" t="s">
        <v>236</v>
      </c>
      <c r="Z76" s="151" t="s">
        <v>236</v>
      </c>
      <c r="AA76" s="131">
        <f t="shared" si="59"/>
        <v>131.40291514836022</v>
      </c>
      <c r="AB76" s="143" t="str">
        <f t="shared" si="60"/>
        <v/>
      </c>
      <c r="AC76" s="133">
        <f t="shared" si="61"/>
        <v>5.3777004358113835E-3</v>
      </c>
      <c r="AD76" s="133">
        <f t="shared" si="62"/>
        <v>7.3930738067038322E-3</v>
      </c>
      <c r="AE76" s="133">
        <f t="shared" si="63"/>
        <v>1.6622135601639214E-2</v>
      </c>
      <c r="AF76" s="134">
        <f t="shared" si="64"/>
        <v>0.73023060056338673</v>
      </c>
      <c r="AG76" s="144">
        <f>Données!G54</f>
        <v>0</v>
      </c>
      <c r="AH76" s="145">
        <f>Données!H54</f>
        <v>0</v>
      </c>
    </row>
    <row r="77" spans="1:34" ht="16.95" customHeight="1" x14ac:dyDescent="0.3">
      <c r="A77" s="106" t="s">
        <v>151</v>
      </c>
      <c r="B77" s="120">
        <f>Données!B55</f>
        <v>100</v>
      </c>
      <c r="C77" s="120">
        <f>Données!C55</f>
        <v>105</v>
      </c>
      <c r="D77" s="120">
        <f>Données!D55</f>
        <v>110</v>
      </c>
      <c r="E77" s="120">
        <f>Données!E55</f>
        <v>116</v>
      </c>
      <c r="F77" s="120">
        <f>Données!F55</f>
        <v>122</v>
      </c>
      <c r="G77" s="120">
        <f>IF(ABS(B77-TREND($B77:$F77,{1,2,3,4,5},1))/ABS(TREND($B77:$F77,{1,2,3,4,5},1))&gt;$B$5,TREND($B77:$F77,{1,2,3,4,5},1),B77)</f>
        <v>100</v>
      </c>
      <c r="H77" s="120">
        <f>IF(ABS(C77-TREND($B77:$F77,{1,2,3,4,5},2))/ABS(TREND($B77:$F77,{1,2,3,4,5},2))&gt;$B$5,TREND($B77:$F77,{1,2,3,4,5},2),C77)</f>
        <v>105</v>
      </c>
      <c r="I77" s="120">
        <f>IF(ABS(D77-TREND($B77:$F77,{1,2,3,4,5},3))/ABS(TREND($B77:$F77,{1,2,3,4,5},3))&gt;$B$5,TREND($B77:$F77,{1,2,3,4,5},3),D77)</f>
        <v>110</v>
      </c>
      <c r="J77" s="120">
        <f>IF(ABS(E77-TREND($B77:$F77,{1,2,3,4,5},4))/ABS(TREND($B77:$F77,{1,2,3,4,5},4))&gt;$B$5,TREND($B77:$F77,{1,2,3,4,5},4),E77)</f>
        <v>116</v>
      </c>
      <c r="K77" s="120">
        <f>IF(ABS(F77-TREND($B77:$F77,{1,2,3,4,5},5))/ABS(TREND($B77:$F77,{1,2,3,4,5},5))&gt;$B$5,TREND($B77:$F77,{1,2,3,4,5},5),F77)</f>
        <v>122</v>
      </c>
      <c r="L77" s="121" t="str">
        <f>IF(AND(ABS(B77-TREND($B77:$F77,{1,2,3,4,5},1))/ABS(TREND($B77:$F77,{1,2,3,4,5},1))&gt;$B$5&lt;=$B$5,ABS(C77-TREND($B77:$F77,{1,2,3,4,5},2))/ABS(TREND($B77:$F77,{1,2,3,4,5},2))&gt;$B$5&lt;=$B$5,ABS(D77-TREND($B77:$F77,{1,2,3,4,5},3))/ABS(TREND($B77:$F77,{1,2,3,4,5},3))&gt;$B$5&lt;=$B$5,ABS(E77-TREND($B77:$F77,{1,2,3,4,5},4))/ABS(TREND($B77:$F77,{1,2,3,4,5},4))&gt;$B$5&lt;=$B$5,ABS(F77-TREND($B77:$F77,{1,2,3,4,5},5))/ABS(TREND($B77:$F77,{1,2,3,4,5},5))&gt;$B$5&lt;=$B$5),"✓",TRIM(IF(ABS(B77-TREND($B77:$F77,{1,2,3,4,5},1))/ABS(TREND($B77:$F77,{1,2,3,4,5},1))&gt;$B$5,"⚠Y-5 ","")&amp;IF(ABS(C77-TREND($B77:$F77,{1,2,3,4,5},2))/ABS(TREND($B77:$F77,{1,2,3,4,5},2))&gt;$B$5,"⚠Y-4 ","")&amp;IF(ABS(D77-TREND($B77:$F77,{1,2,3,4,5},3))/ABS(TREND($B77:$F77,{1,2,3,4,5},3))&gt;$B$5,"⚠Y-3 ","")&amp;IF(ABS(E77-TREND($B77:$F77,{1,2,3,4,5},4))/ABS(TREND($B77:$F77,{1,2,3,4,5},4))&gt;$B$5,"⚠Y-2 ","")&amp;IF(ABS(F77-TREND($B77:$F77,{1,2,3,4,5},5))/ABS(TREND($B77:$F77,{1,2,3,4,5},5))&gt;$B$5,"⚠Y-1 ","")))</f>
        <v/>
      </c>
      <c r="M77" s="122">
        <f t="shared" si="50"/>
        <v>0.99833610648918469</v>
      </c>
      <c r="N77" s="122">
        <f t="shared" si="51"/>
        <v>0.99841521394611721</v>
      </c>
      <c r="O77" s="122">
        <f t="shared" si="52"/>
        <v>0.99848714069591527</v>
      </c>
      <c r="P77" s="122">
        <f t="shared" si="53"/>
        <v>1.0021598272138228</v>
      </c>
      <c r="Q77" s="122">
        <f t="shared" si="54"/>
        <v>0.96825396825396826</v>
      </c>
      <c r="R77" s="123">
        <f t="shared" si="55"/>
        <v>0.984090347393207</v>
      </c>
      <c r="S77" s="124" t="str">
        <f t="shared" si="56"/>
        <v>NS</v>
      </c>
      <c r="T77" s="125" t="str">
        <f t="shared" si="57"/>
        <v>NS</v>
      </c>
      <c r="U77" s="371" t="s">
        <v>239</v>
      </c>
      <c r="V77" s="126">
        <v>7.3930738067038322E-3</v>
      </c>
      <c r="W77" s="127">
        <f t="shared" si="58"/>
        <v>122.90195500441787</v>
      </c>
      <c r="X77" s="150" t="s">
        <v>236</v>
      </c>
      <c r="Y77" s="150" t="s">
        <v>236</v>
      </c>
      <c r="Z77" s="150" t="s">
        <v>236</v>
      </c>
      <c r="AA77" s="131">
        <f t="shared" si="59"/>
        <v>128.41360501567399</v>
      </c>
      <c r="AB77" s="132" t="str">
        <f t="shared" si="60"/>
        <v/>
      </c>
      <c r="AC77" s="133">
        <f t="shared" si="61"/>
        <v>5.3777004358113835E-3</v>
      </c>
      <c r="AD77" s="133">
        <f t="shared" si="62"/>
        <v>7.3930738067038322E-3</v>
      </c>
      <c r="AE77" s="133">
        <f t="shared" si="63"/>
        <v>1.6622135601639214E-2</v>
      </c>
      <c r="AF77" s="134">
        <f t="shared" si="64"/>
        <v>0.73023060056338673</v>
      </c>
      <c r="AG77" s="135">
        <f>Données!G55</f>
        <v>0</v>
      </c>
      <c r="AH77" s="136">
        <f>Données!H55</f>
        <v>0</v>
      </c>
    </row>
    <row r="78" spans="1:34" ht="16.95" customHeight="1" x14ac:dyDescent="0.3">
      <c r="A78" s="110" t="s">
        <v>152</v>
      </c>
      <c r="B78" s="137">
        <f>Données!B56</f>
        <v>98</v>
      </c>
      <c r="C78" s="137">
        <f>Données!C56</f>
        <v>103</v>
      </c>
      <c r="D78" s="137">
        <f>Données!D56</f>
        <v>108</v>
      </c>
      <c r="E78" s="137">
        <f>Données!E56</f>
        <v>113</v>
      </c>
      <c r="F78" s="137">
        <f>Données!F56</f>
        <v>119</v>
      </c>
      <c r="G78" s="137">
        <f>IF(ABS(B78-TREND($B78:$F78,{1,2,3,4,5},1))/ABS(TREND($B78:$F78,{1,2,3,4,5},1))&gt;$B$5,TREND($B78:$F78,{1,2,3,4,5},1),B78)</f>
        <v>98</v>
      </c>
      <c r="H78" s="137">
        <f>IF(ABS(C78-TREND($B78:$F78,{1,2,3,4,5},2))/ABS(TREND($B78:$F78,{1,2,3,4,5},2))&gt;$B$5,TREND($B78:$F78,{1,2,3,4,5},2),C78)</f>
        <v>103</v>
      </c>
      <c r="I78" s="137">
        <f>IF(ABS(D78-TREND($B78:$F78,{1,2,3,4,5},3))/ABS(TREND($B78:$F78,{1,2,3,4,5},3))&gt;$B$5,TREND($B78:$F78,{1,2,3,4,5},3),D78)</f>
        <v>108</v>
      </c>
      <c r="J78" s="137">
        <f>IF(ABS(E78-TREND($B78:$F78,{1,2,3,4,5},4))/ABS(TREND($B78:$F78,{1,2,3,4,5},4))&gt;$B$5,TREND($B78:$F78,{1,2,3,4,5},4),E78)</f>
        <v>113</v>
      </c>
      <c r="K78" s="137">
        <f>IF(ABS(F78-TREND($B78:$F78,{1,2,3,4,5},5))/ABS(TREND($B78:$F78,{1,2,3,4,5},5))&gt;$B$5,TREND($B78:$F78,{1,2,3,4,5},5),F78)</f>
        <v>119</v>
      </c>
      <c r="L78" s="138" t="str">
        <f>IF(AND(ABS(B78-TREND($B78:$F78,{1,2,3,4,5},1))/ABS(TREND($B78:$F78,{1,2,3,4,5},1))&gt;$B$5&lt;=$B$5,ABS(C78-TREND($B78:$F78,{1,2,3,4,5},2))/ABS(TREND($B78:$F78,{1,2,3,4,5},2))&gt;$B$5&lt;=$B$5,ABS(D78-TREND($B78:$F78,{1,2,3,4,5},3))/ABS(TREND($B78:$F78,{1,2,3,4,5},3))&gt;$B$5&lt;=$B$5,ABS(E78-TREND($B78:$F78,{1,2,3,4,5},4))/ABS(TREND($B78:$F78,{1,2,3,4,5},4))&gt;$B$5&lt;=$B$5,ABS(F78-TREND($B78:$F78,{1,2,3,4,5},5))/ABS(TREND($B78:$F78,{1,2,3,4,5},5))&gt;$B$5&lt;=$B$5),"✓",TRIM(IF(ABS(B78-TREND($B78:$F78,{1,2,3,4,5},1))/ABS(TREND($B78:$F78,{1,2,3,4,5},1))&gt;$B$5,"⚠Y-5 ","")&amp;IF(ABS(C78-TREND($B78:$F78,{1,2,3,4,5},2))/ABS(TREND($B78:$F78,{1,2,3,4,5},2))&gt;$B$5,"⚠Y-4 ","")&amp;IF(ABS(D78-TREND($B78:$F78,{1,2,3,4,5},3))/ABS(TREND($B78:$F78,{1,2,3,4,5},3))&gt;$B$5,"⚠Y-3 ","")&amp;IF(ABS(E78-TREND($B78:$F78,{1,2,3,4,5},4))/ABS(TREND($B78:$F78,{1,2,3,4,5},4))&gt;$B$5,"⚠Y-2 ","")&amp;IF(ABS(F78-TREND($B78:$F78,{1,2,3,4,5},5))/ABS(TREND($B78:$F78,{1,2,3,4,5},5))&gt;$B$5,"⚠Y-1 ","")))</f>
        <v/>
      </c>
      <c r="M78" s="139">
        <f t="shared" si="50"/>
        <v>0.97836938435940091</v>
      </c>
      <c r="N78" s="139">
        <f t="shared" si="51"/>
        <v>0.97939778129952448</v>
      </c>
      <c r="O78" s="139">
        <f t="shared" si="52"/>
        <v>0.98033282904689856</v>
      </c>
      <c r="P78" s="139">
        <f t="shared" si="53"/>
        <v>0.97624190064794814</v>
      </c>
      <c r="Q78" s="139">
        <f t="shared" si="54"/>
        <v>0.94444444444444442</v>
      </c>
      <c r="R78" s="123">
        <f t="shared" si="55"/>
        <v>0.96137877405676919</v>
      </c>
      <c r="S78" s="124" t="str">
        <f t="shared" si="56"/>
        <v>NS</v>
      </c>
      <c r="T78" s="125" t="str">
        <f t="shared" si="57"/>
        <v>NS</v>
      </c>
      <c r="U78" s="371" t="s">
        <v>239</v>
      </c>
      <c r="V78" s="126">
        <v>7.3930738067038322E-3</v>
      </c>
      <c r="W78" s="127">
        <f t="shared" si="58"/>
        <v>119.87977578299775</v>
      </c>
      <c r="X78" s="151" t="s">
        <v>236</v>
      </c>
      <c r="Y78" s="151" t="s">
        <v>236</v>
      </c>
      <c r="Z78" s="151" t="s">
        <v>236</v>
      </c>
      <c r="AA78" s="131">
        <f t="shared" si="59"/>
        <v>125.07578662733529</v>
      </c>
      <c r="AB78" s="143" t="str">
        <f t="shared" si="60"/>
        <v/>
      </c>
      <c r="AC78" s="133">
        <f t="shared" si="61"/>
        <v>5.3777004358113835E-3</v>
      </c>
      <c r="AD78" s="133">
        <f t="shared" si="62"/>
        <v>7.3930738067038322E-3</v>
      </c>
      <c r="AE78" s="133">
        <f t="shared" si="63"/>
        <v>1.6622135601639214E-2</v>
      </c>
      <c r="AF78" s="134">
        <f t="shared" si="64"/>
        <v>0.73023060056338673</v>
      </c>
      <c r="AG78" s="144">
        <f>Données!G56</f>
        <v>0</v>
      </c>
      <c r="AH78" s="145">
        <f>Données!H56</f>
        <v>0</v>
      </c>
    </row>
    <row r="79" spans="1:34" ht="16.95" customHeight="1" x14ac:dyDescent="0.3">
      <c r="A79" s="106" t="s">
        <v>153</v>
      </c>
      <c r="B79" s="120">
        <f>Données!B57</f>
        <v>102</v>
      </c>
      <c r="C79" s="120">
        <f>Données!C57</f>
        <v>107</v>
      </c>
      <c r="D79" s="120">
        <f>Données!D57</f>
        <v>112</v>
      </c>
      <c r="E79" s="120">
        <f>Données!E57</f>
        <v>118</v>
      </c>
      <c r="F79" s="120">
        <f>Données!F57</f>
        <v>124</v>
      </c>
      <c r="G79" s="120">
        <f>IF(ABS(B79-TREND($B79:$F79,{1,2,3,4,5},1))/ABS(TREND($B79:$F79,{1,2,3,4,5},1))&gt;$B$5,TREND($B79:$F79,{1,2,3,4,5},1),B79)</f>
        <v>102</v>
      </c>
      <c r="H79" s="120">
        <f>IF(ABS(C79-TREND($B79:$F79,{1,2,3,4,5},2))/ABS(TREND($B79:$F79,{1,2,3,4,5},2))&gt;$B$5,TREND($B79:$F79,{1,2,3,4,5},2),C79)</f>
        <v>107</v>
      </c>
      <c r="I79" s="120">
        <f>IF(ABS(D79-TREND($B79:$F79,{1,2,3,4,5},3))/ABS(TREND($B79:$F79,{1,2,3,4,5},3))&gt;$B$5,TREND($B79:$F79,{1,2,3,4,5},3),D79)</f>
        <v>112</v>
      </c>
      <c r="J79" s="120">
        <f>IF(ABS(E79-TREND($B79:$F79,{1,2,3,4,5},4))/ABS(TREND($B79:$F79,{1,2,3,4,5},4))&gt;$B$5,TREND($B79:$F79,{1,2,3,4,5},4),E79)</f>
        <v>118</v>
      </c>
      <c r="K79" s="120">
        <f>IF(ABS(F79-TREND($B79:$F79,{1,2,3,4,5},5))/ABS(TREND($B79:$F79,{1,2,3,4,5},5))&gt;$B$5,TREND($B79:$F79,{1,2,3,4,5},5),F79)</f>
        <v>124</v>
      </c>
      <c r="L79" s="121" t="str">
        <f>IF(AND(ABS(B79-TREND($B79:$F79,{1,2,3,4,5},1))/ABS(TREND($B79:$F79,{1,2,3,4,5},1))&gt;$B$5&lt;=$B$5,ABS(C79-TREND($B79:$F79,{1,2,3,4,5},2))/ABS(TREND($B79:$F79,{1,2,3,4,5},2))&gt;$B$5&lt;=$B$5,ABS(D79-TREND($B79:$F79,{1,2,3,4,5},3))/ABS(TREND($B79:$F79,{1,2,3,4,5},3))&gt;$B$5&lt;=$B$5,ABS(E79-TREND($B79:$F79,{1,2,3,4,5},4))/ABS(TREND($B79:$F79,{1,2,3,4,5},4))&gt;$B$5&lt;=$B$5,ABS(F79-TREND($B79:$F79,{1,2,3,4,5},5))/ABS(TREND($B79:$F79,{1,2,3,4,5},5))&gt;$B$5&lt;=$B$5),"✓",TRIM(IF(ABS(B79-TREND($B79:$F79,{1,2,3,4,5},1))/ABS(TREND($B79:$F79,{1,2,3,4,5},1))&gt;$B$5,"⚠Y-5 ","")&amp;IF(ABS(C79-TREND($B79:$F79,{1,2,3,4,5},2))/ABS(TREND($B79:$F79,{1,2,3,4,5},2))&gt;$B$5,"⚠Y-4 ","")&amp;IF(ABS(D79-TREND($B79:$F79,{1,2,3,4,5},3))/ABS(TREND($B79:$F79,{1,2,3,4,5},3))&gt;$B$5,"⚠Y-3 ","")&amp;IF(ABS(E79-TREND($B79:$F79,{1,2,3,4,5},4))/ABS(TREND($B79:$F79,{1,2,3,4,5},4))&gt;$B$5,"⚠Y-2 ","")&amp;IF(ABS(F79-TREND($B79:$F79,{1,2,3,4,5},5))/ABS(TREND($B79:$F79,{1,2,3,4,5},5))&gt;$B$5,"⚠Y-1 ","")))</f>
        <v/>
      </c>
      <c r="M79" s="122">
        <f t="shared" si="50"/>
        <v>1.0183028286189684</v>
      </c>
      <c r="N79" s="122">
        <f t="shared" si="51"/>
        <v>1.0174326465927099</v>
      </c>
      <c r="O79" s="122">
        <f t="shared" si="52"/>
        <v>1.0166414523449319</v>
      </c>
      <c r="P79" s="122">
        <f t="shared" si="53"/>
        <v>1.0194384449244061</v>
      </c>
      <c r="Q79" s="122">
        <f t="shared" si="54"/>
        <v>0.98412698412698407</v>
      </c>
      <c r="R79" s="123">
        <f t="shared" si="55"/>
        <v>1.0011058049903325</v>
      </c>
      <c r="S79" s="124" t="str">
        <f t="shared" si="56"/>
        <v>NS</v>
      </c>
      <c r="T79" s="125" t="str">
        <f t="shared" si="57"/>
        <v>NS</v>
      </c>
      <c r="U79" s="371" t="s">
        <v>239</v>
      </c>
      <c r="V79" s="126">
        <v>7.3930738067038322E-3</v>
      </c>
      <c r="W79" s="127">
        <f t="shared" si="58"/>
        <v>124.91674115203128</v>
      </c>
      <c r="X79" s="150" t="s">
        <v>236</v>
      </c>
      <c r="Y79" s="150" t="s">
        <v>236</v>
      </c>
      <c r="Z79" s="150" t="s">
        <v>236</v>
      </c>
      <c r="AA79" s="131">
        <f t="shared" si="59"/>
        <v>130.40641646489104</v>
      </c>
      <c r="AB79" s="132" t="str">
        <f t="shared" si="60"/>
        <v/>
      </c>
      <c r="AC79" s="133">
        <f t="shared" si="61"/>
        <v>5.3777004358113835E-3</v>
      </c>
      <c r="AD79" s="133">
        <f t="shared" si="62"/>
        <v>7.3930738067038322E-3</v>
      </c>
      <c r="AE79" s="133">
        <f t="shared" si="63"/>
        <v>1.6622135601639214E-2</v>
      </c>
      <c r="AF79" s="134">
        <f t="shared" si="64"/>
        <v>0.73023060056338673</v>
      </c>
      <c r="AG79" s="135">
        <f>Données!G57</f>
        <v>0</v>
      </c>
      <c r="AH79" s="136">
        <f>Données!H57</f>
        <v>0</v>
      </c>
    </row>
    <row r="80" spans="1:34" ht="16.95" customHeight="1" x14ac:dyDescent="0.3">
      <c r="A80" s="110" t="s">
        <v>154</v>
      </c>
      <c r="B80" s="137">
        <f>Données!B58</f>
        <v>104</v>
      </c>
      <c r="C80" s="137">
        <f>Données!C58</f>
        <v>109</v>
      </c>
      <c r="D80" s="137">
        <f>Données!D58</f>
        <v>114</v>
      </c>
      <c r="E80" s="137">
        <f>Données!E58</f>
        <v>120</v>
      </c>
      <c r="F80" s="137">
        <f>Données!F58</f>
        <v>126</v>
      </c>
      <c r="G80" s="137">
        <f>IF(ABS(B80-TREND($B80:$F80,{1,2,3,4,5},1))/ABS(TREND($B80:$F80,{1,2,3,4,5},1))&gt;$B$5,TREND($B80:$F80,{1,2,3,4,5},1),B80)</f>
        <v>104</v>
      </c>
      <c r="H80" s="137">
        <f>IF(ABS(C80-TREND($B80:$F80,{1,2,3,4,5},2))/ABS(TREND($B80:$F80,{1,2,3,4,5},2))&gt;$B$5,TREND($B80:$F80,{1,2,3,4,5},2),C80)</f>
        <v>109</v>
      </c>
      <c r="I80" s="137">
        <f>IF(ABS(D80-TREND($B80:$F80,{1,2,3,4,5},3))/ABS(TREND($B80:$F80,{1,2,3,4,5},3))&gt;$B$5,TREND($B80:$F80,{1,2,3,4,5},3),D80)</f>
        <v>114</v>
      </c>
      <c r="J80" s="137">
        <f>IF(ABS(E80-TREND($B80:$F80,{1,2,3,4,5},4))/ABS(TREND($B80:$F80,{1,2,3,4,5},4))&gt;$B$5,TREND($B80:$F80,{1,2,3,4,5},4),E80)</f>
        <v>120</v>
      </c>
      <c r="K80" s="137">
        <f>IF(ABS(F80-TREND($B80:$F80,{1,2,3,4,5},5))/ABS(TREND($B80:$F80,{1,2,3,4,5},5))&gt;$B$5,TREND($B80:$F80,{1,2,3,4,5},5),F80)</f>
        <v>126</v>
      </c>
      <c r="L80" s="138" t="str">
        <f>IF(AND(ABS(B80-TREND($B80:$F80,{1,2,3,4,5},1))/ABS(TREND($B80:$F80,{1,2,3,4,5},1))&gt;$B$5&lt;=$B$5,ABS(C80-TREND($B80:$F80,{1,2,3,4,5},2))/ABS(TREND($B80:$F80,{1,2,3,4,5},2))&gt;$B$5&lt;=$B$5,ABS(D80-TREND($B80:$F80,{1,2,3,4,5},3))/ABS(TREND($B80:$F80,{1,2,3,4,5},3))&gt;$B$5&lt;=$B$5,ABS(E80-TREND($B80:$F80,{1,2,3,4,5},4))/ABS(TREND($B80:$F80,{1,2,3,4,5},4))&gt;$B$5&lt;=$B$5,ABS(F80-TREND($B80:$F80,{1,2,3,4,5},5))/ABS(TREND($B80:$F80,{1,2,3,4,5},5))&gt;$B$5&lt;=$B$5),"✓",TRIM(IF(ABS(B80-TREND($B80:$F80,{1,2,3,4,5},1))/ABS(TREND($B80:$F80,{1,2,3,4,5},1))&gt;$B$5,"⚠Y-5 ","")&amp;IF(ABS(C80-TREND($B80:$F80,{1,2,3,4,5},2))/ABS(TREND($B80:$F80,{1,2,3,4,5},2))&gt;$B$5,"⚠Y-4 ","")&amp;IF(ABS(D80-TREND($B80:$F80,{1,2,3,4,5},3))/ABS(TREND($B80:$F80,{1,2,3,4,5},3))&gt;$B$5,"⚠Y-3 ","")&amp;IF(ABS(E80-TREND($B80:$F80,{1,2,3,4,5},4))/ABS(TREND($B80:$F80,{1,2,3,4,5},4))&gt;$B$5,"⚠Y-2 ","")&amp;IF(ABS(F80-TREND($B80:$F80,{1,2,3,4,5},5))/ABS(TREND($B80:$F80,{1,2,3,4,5},5))&gt;$B$5,"⚠Y-1 ","")))</f>
        <v/>
      </c>
      <c r="M80" s="139">
        <f t="shared" si="50"/>
        <v>1.038269550748752</v>
      </c>
      <c r="N80" s="139">
        <f t="shared" si="51"/>
        <v>1.0364500792393025</v>
      </c>
      <c r="O80" s="139">
        <f t="shared" si="52"/>
        <v>1.0347957639939485</v>
      </c>
      <c r="P80" s="139">
        <f t="shared" si="53"/>
        <v>1.0367170626349893</v>
      </c>
      <c r="Q80" s="139">
        <f t="shared" si="54"/>
        <v>1</v>
      </c>
      <c r="R80" s="123">
        <f t="shared" si="55"/>
        <v>1.0181212625874578</v>
      </c>
      <c r="S80" s="124" t="str">
        <f t="shared" si="56"/>
        <v>NS</v>
      </c>
      <c r="T80" s="125" t="str">
        <f t="shared" si="57"/>
        <v>NS</v>
      </c>
      <c r="U80" s="371" t="s">
        <v>239</v>
      </c>
      <c r="V80" s="126">
        <v>7.3930738067038322E-3</v>
      </c>
      <c r="W80" s="127">
        <f t="shared" si="58"/>
        <v>126.93152729964469</v>
      </c>
      <c r="X80" s="151" t="s">
        <v>236</v>
      </c>
      <c r="Y80" s="151" t="s">
        <v>236</v>
      </c>
      <c r="Z80" s="151" t="s">
        <v>236</v>
      </c>
      <c r="AA80" s="131">
        <f t="shared" si="59"/>
        <v>132.39947368421053</v>
      </c>
      <c r="AB80" s="143" t="str">
        <f t="shared" si="60"/>
        <v/>
      </c>
      <c r="AC80" s="133">
        <f t="shared" si="61"/>
        <v>5.3777004358113835E-3</v>
      </c>
      <c r="AD80" s="133">
        <f t="shared" si="62"/>
        <v>7.3930738067038322E-3</v>
      </c>
      <c r="AE80" s="133">
        <f t="shared" si="63"/>
        <v>1.6622135601639214E-2</v>
      </c>
      <c r="AF80" s="134">
        <f t="shared" si="64"/>
        <v>0.73023060056338673</v>
      </c>
      <c r="AG80" s="144">
        <f>Données!G58</f>
        <v>0</v>
      </c>
      <c r="AH80" s="145">
        <f>Données!H58</f>
        <v>0</v>
      </c>
    </row>
    <row r="81" spans="1:34" ht="16.95" customHeight="1" x14ac:dyDescent="0.3">
      <c r="A81" s="106" t="s">
        <v>155</v>
      </c>
      <c r="B81" s="120">
        <f>Données!B59</f>
        <v>99</v>
      </c>
      <c r="C81" s="120">
        <f>Données!C59</f>
        <v>104</v>
      </c>
      <c r="D81" s="120">
        <f>Données!D59</f>
        <v>109</v>
      </c>
      <c r="E81" s="120">
        <f>Données!E59</f>
        <v>114</v>
      </c>
      <c r="F81" s="120">
        <f>Données!F59</f>
        <v>120</v>
      </c>
      <c r="G81" s="120">
        <f>IF(ABS(B81-TREND($B81:$F81,{1,2,3,4,5},1))/ABS(TREND($B81:$F81,{1,2,3,4,5},1))&gt;$B$5,TREND($B81:$F81,{1,2,3,4,5},1),B81)</f>
        <v>99</v>
      </c>
      <c r="H81" s="120">
        <f>IF(ABS(C81-TREND($B81:$F81,{1,2,3,4,5},2))/ABS(TREND($B81:$F81,{1,2,3,4,5},2))&gt;$B$5,TREND($B81:$F81,{1,2,3,4,5},2),C81)</f>
        <v>104</v>
      </c>
      <c r="I81" s="120">
        <f>IF(ABS(D81-TREND($B81:$F81,{1,2,3,4,5},3))/ABS(TREND($B81:$F81,{1,2,3,4,5},3))&gt;$B$5,TREND($B81:$F81,{1,2,3,4,5},3),D81)</f>
        <v>109</v>
      </c>
      <c r="J81" s="120">
        <f>IF(ABS(E81-TREND($B81:$F81,{1,2,3,4,5},4))/ABS(TREND($B81:$F81,{1,2,3,4,5},4))&gt;$B$5,TREND($B81:$F81,{1,2,3,4,5},4),E81)</f>
        <v>114</v>
      </c>
      <c r="K81" s="120">
        <f>IF(ABS(F81-TREND($B81:$F81,{1,2,3,4,5},5))/ABS(TREND($B81:$F81,{1,2,3,4,5},5))&gt;$B$5,TREND($B81:$F81,{1,2,3,4,5},5),F81)</f>
        <v>120</v>
      </c>
      <c r="L81" s="121" t="str">
        <f>IF(AND(ABS(B81-TREND($B81:$F81,{1,2,3,4,5},1))/ABS(TREND($B81:$F81,{1,2,3,4,5},1))&gt;$B$5&lt;=$B$5,ABS(C81-TREND($B81:$F81,{1,2,3,4,5},2))/ABS(TREND($B81:$F81,{1,2,3,4,5},2))&gt;$B$5&lt;=$B$5,ABS(D81-TREND($B81:$F81,{1,2,3,4,5},3))/ABS(TREND($B81:$F81,{1,2,3,4,5},3))&gt;$B$5&lt;=$B$5,ABS(E81-TREND($B81:$F81,{1,2,3,4,5},4))/ABS(TREND($B81:$F81,{1,2,3,4,5},4))&gt;$B$5&lt;=$B$5,ABS(F81-TREND($B81:$F81,{1,2,3,4,5},5))/ABS(TREND($B81:$F81,{1,2,3,4,5},5))&gt;$B$5&lt;=$B$5),"✓",TRIM(IF(ABS(B81-TREND($B81:$F81,{1,2,3,4,5},1))/ABS(TREND($B81:$F81,{1,2,3,4,5},1))&gt;$B$5,"⚠Y-5 ","")&amp;IF(ABS(C81-TREND($B81:$F81,{1,2,3,4,5},2))/ABS(TREND($B81:$F81,{1,2,3,4,5},2))&gt;$B$5,"⚠Y-4 ","")&amp;IF(ABS(D81-TREND($B81:$F81,{1,2,3,4,5},3))/ABS(TREND($B81:$F81,{1,2,3,4,5},3))&gt;$B$5,"⚠Y-3 ","")&amp;IF(ABS(E81-TREND($B81:$F81,{1,2,3,4,5},4))/ABS(TREND($B81:$F81,{1,2,3,4,5},4))&gt;$B$5,"⚠Y-2 ","")&amp;IF(ABS(F81-TREND($B81:$F81,{1,2,3,4,5},5))/ABS(TREND($B81:$F81,{1,2,3,4,5},5))&gt;$B$5,"⚠Y-1 ","")))</f>
        <v/>
      </c>
      <c r="M81" s="122">
        <f t="shared" si="50"/>
        <v>0.98835274542429274</v>
      </c>
      <c r="N81" s="122">
        <f t="shared" si="51"/>
        <v>0.9889064976228209</v>
      </c>
      <c r="O81" s="122">
        <f t="shared" si="52"/>
        <v>0.98940998487140697</v>
      </c>
      <c r="P81" s="122">
        <f t="shared" si="53"/>
        <v>0.98488120950323976</v>
      </c>
      <c r="Q81" s="122">
        <f t="shared" si="54"/>
        <v>0.95238095238095233</v>
      </c>
      <c r="R81" s="123">
        <f t="shared" si="55"/>
        <v>0.96988650285533196</v>
      </c>
      <c r="S81" s="124" t="str">
        <f t="shared" si="56"/>
        <v>NS</v>
      </c>
      <c r="T81" s="125" t="str">
        <f t="shared" si="57"/>
        <v>NS</v>
      </c>
      <c r="U81" s="371" t="s">
        <v>239</v>
      </c>
      <c r="V81" s="126">
        <v>7.3930738067038322E-3</v>
      </c>
      <c r="W81" s="127">
        <f t="shared" si="58"/>
        <v>120.88716885680446</v>
      </c>
      <c r="X81" s="150" t="s">
        <v>236</v>
      </c>
      <c r="Y81" s="150" t="s">
        <v>236</v>
      </c>
      <c r="Z81" s="150" t="s">
        <v>236</v>
      </c>
      <c r="AA81" s="131">
        <f t="shared" si="59"/>
        <v>126.07242877836794</v>
      </c>
      <c r="AB81" s="132" t="str">
        <f t="shared" si="60"/>
        <v/>
      </c>
      <c r="AC81" s="133">
        <f t="shared" si="61"/>
        <v>5.3777004358113835E-3</v>
      </c>
      <c r="AD81" s="133">
        <f t="shared" si="62"/>
        <v>7.3930738067038322E-3</v>
      </c>
      <c r="AE81" s="133">
        <f t="shared" si="63"/>
        <v>1.6622135601639214E-2</v>
      </c>
      <c r="AF81" s="134">
        <f t="shared" si="64"/>
        <v>0.73023060056338673</v>
      </c>
      <c r="AG81" s="135">
        <f>Données!G59</f>
        <v>0</v>
      </c>
      <c r="AH81" s="136">
        <f>Données!H59</f>
        <v>0</v>
      </c>
    </row>
    <row r="82" spans="1:34" ht="16.95" customHeight="1" x14ac:dyDescent="0.3">
      <c r="A82" s="110" t="s">
        <v>156</v>
      </c>
      <c r="B82" s="137">
        <f>Données!B60</f>
        <v>101</v>
      </c>
      <c r="C82" s="137">
        <f>Données!C60</f>
        <v>106</v>
      </c>
      <c r="D82" s="137">
        <f>Données!D60</f>
        <v>111</v>
      </c>
      <c r="E82" s="137">
        <f>Données!E60</f>
        <v>117</v>
      </c>
      <c r="F82" s="137">
        <f>Données!F60</f>
        <v>140</v>
      </c>
      <c r="G82" s="137">
        <f>IF(ABS(B82-TREND($B82:$F82,{1,2,3,4,5},1))/ABS(TREND($B82:$F82,{1,2,3,4,5},1))&gt;$B$5,TREND($B82:$F82,{1,2,3,4,5},1),B82)</f>
        <v>101</v>
      </c>
      <c r="H82" s="137">
        <f>IF(ABS(C82-TREND($B82:$F82,{1,2,3,4,5},2))/ABS(TREND($B82:$F82,{1,2,3,4,5},2))&gt;$B$5,TREND($B82:$F82,{1,2,3,4,5},2),C82)</f>
        <v>106</v>
      </c>
      <c r="I82" s="137">
        <f>IF(ABS(D82-TREND($B82:$F82,{1,2,3,4,5},3))/ABS(TREND($B82:$F82,{1,2,3,4,5},3))&gt;$B$5,TREND($B82:$F82,{1,2,3,4,5},3),D82)</f>
        <v>111</v>
      </c>
      <c r="J82" s="137">
        <f>IF(ABS(E82-TREND($B82:$F82,{1,2,3,4,5},4))/ABS(TREND($B82:$F82,{1,2,3,4,5},4))&gt;$B$5,TREND($B82:$F82,{1,2,3,4,5},4),E82)</f>
        <v>117</v>
      </c>
      <c r="K82" s="137">
        <f>IF(ABS(F82-TREND($B82:$F82,{1,2,3,4,5},5))/ABS(TREND($B82:$F82,{1,2,3,4,5},5))&gt;$B$5,TREND($B82:$F82,{1,2,3,4,5},5),F82)</f>
        <v>140</v>
      </c>
      <c r="L82" s="138" t="str">
        <f>IF(AND(ABS(B82-TREND($B82:$F82,{1,2,3,4,5},1))/ABS(TREND($B82:$F82,{1,2,3,4,5},1))&gt;$B$5&lt;=$B$5,ABS(C82-TREND($B82:$F82,{1,2,3,4,5},2))/ABS(TREND($B82:$F82,{1,2,3,4,5},2))&gt;$B$5&lt;=$B$5,ABS(D82-TREND($B82:$F82,{1,2,3,4,5},3))/ABS(TREND($B82:$F82,{1,2,3,4,5},3))&gt;$B$5&lt;=$B$5,ABS(E82-TREND($B82:$F82,{1,2,3,4,5},4))/ABS(TREND($B82:$F82,{1,2,3,4,5},4))&gt;$B$5&lt;=$B$5,ABS(F82-TREND($B82:$F82,{1,2,3,4,5},5))/ABS(TREND($B82:$F82,{1,2,3,4,5},5))&gt;$B$5&lt;=$B$5),"✓",TRIM(IF(ABS(B82-TREND($B82:$F82,{1,2,3,4,5},1))/ABS(TREND($B82:$F82,{1,2,3,4,5},1))&gt;$B$5,"⚠Y-5 ","")&amp;IF(ABS(C82-TREND($B82:$F82,{1,2,3,4,5},2))/ABS(TREND($B82:$F82,{1,2,3,4,5},2))&gt;$B$5,"⚠Y-4 ","")&amp;IF(ABS(D82-TREND($B82:$F82,{1,2,3,4,5},3))/ABS(TREND($B82:$F82,{1,2,3,4,5},3))&gt;$B$5,"⚠Y-3 ","")&amp;IF(ABS(E82-TREND($B82:$F82,{1,2,3,4,5},4))/ABS(TREND($B82:$F82,{1,2,3,4,5},4))&gt;$B$5,"⚠Y-2 ","")&amp;IF(ABS(F82-TREND($B82:$F82,{1,2,3,4,5},5))/ABS(TREND($B82:$F82,{1,2,3,4,5},5))&gt;$B$5,"⚠Y-1 ","")))</f>
        <v/>
      </c>
      <c r="M82" s="139">
        <f t="shared" si="50"/>
        <v>1.0083194675540765</v>
      </c>
      <c r="N82" s="139">
        <f t="shared" si="51"/>
        <v>1.0079239302694136</v>
      </c>
      <c r="O82" s="139">
        <f t="shared" si="52"/>
        <v>1.0075642965204235</v>
      </c>
      <c r="P82" s="139">
        <f t="shared" si="53"/>
        <v>1.0107991360691144</v>
      </c>
      <c r="Q82" s="139">
        <f t="shared" si="54"/>
        <v>1.1111111111111112</v>
      </c>
      <c r="R82" s="123">
        <f t="shared" si="55"/>
        <v>1.0600583936520871</v>
      </c>
      <c r="S82" s="124" t="str">
        <f t="shared" si="56"/>
        <v>NS</v>
      </c>
      <c r="T82" s="125" t="str">
        <f t="shared" si="57"/>
        <v>NS</v>
      </c>
      <c r="U82" s="371" t="s">
        <v>239</v>
      </c>
      <c r="V82" s="126">
        <v>7.3930738067038322E-3</v>
      </c>
      <c r="W82" s="127">
        <f t="shared" si="58"/>
        <v>141.03503033293853</v>
      </c>
      <c r="X82" s="151" t="s">
        <v>236</v>
      </c>
      <c r="Y82" s="151" t="s">
        <v>236</v>
      </c>
      <c r="Z82" s="151" t="s">
        <v>236</v>
      </c>
      <c r="AA82" s="131">
        <f t="shared" si="59"/>
        <v>161.53522753522756</v>
      </c>
      <c r="AB82" s="143" t="str">
        <f t="shared" si="60"/>
        <v>⚡ accél.</v>
      </c>
      <c r="AC82" s="133">
        <f t="shared" si="61"/>
        <v>5.3777004358113835E-3</v>
      </c>
      <c r="AD82" s="133">
        <f t="shared" si="62"/>
        <v>7.3930738067038322E-3</v>
      </c>
      <c r="AE82" s="133">
        <f t="shared" si="63"/>
        <v>1.6622135601639214E-2</v>
      </c>
      <c r="AF82" s="134">
        <f t="shared" si="64"/>
        <v>0.73023060056338673</v>
      </c>
      <c r="AG82" s="144">
        <f>Données!G60</f>
        <v>0</v>
      </c>
      <c r="AH82" s="145">
        <f>Données!H60</f>
        <v>0</v>
      </c>
    </row>
    <row r="83" spans="1:34" ht="16.95" customHeight="1" x14ac:dyDescent="0.3">
      <c r="A83" s="106" t="s">
        <v>157</v>
      </c>
      <c r="B83" s="120">
        <f>Données!B61</f>
        <v>98</v>
      </c>
      <c r="C83" s="120">
        <f>Données!C61</f>
        <v>103</v>
      </c>
      <c r="D83" s="120">
        <f>Données!D61</f>
        <v>108</v>
      </c>
      <c r="E83" s="120">
        <f>Données!E61</f>
        <v>113</v>
      </c>
      <c r="F83" s="120">
        <f>Données!F61</f>
        <v>136</v>
      </c>
      <c r="G83" s="120">
        <f>IF(ABS(B83-TREND($B83:$F83,{1,2,3,4,5},1))/ABS(TREND($B83:$F83,{1,2,3,4,5},1))&gt;$B$5,TREND($B83:$F83,{1,2,3,4,5},1),B83)</f>
        <v>98</v>
      </c>
      <c r="H83" s="120">
        <f>IF(ABS(C83-TREND($B83:$F83,{1,2,3,4,5},2))/ABS(TREND($B83:$F83,{1,2,3,4,5},2))&gt;$B$5,TREND($B83:$F83,{1,2,3,4,5},2),C83)</f>
        <v>103</v>
      </c>
      <c r="I83" s="120">
        <f>IF(ABS(D83-TREND($B83:$F83,{1,2,3,4,5},3))/ABS(TREND($B83:$F83,{1,2,3,4,5},3))&gt;$B$5,TREND($B83:$F83,{1,2,3,4,5},3),D83)</f>
        <v>108</v>
      </c>
      <c r="J83" s="120">
        <f>IF(ABS(E83-TREND($B83:$F83,{1,2,3,4,5},4))/ABS(TREND($B83:$F83,{1,2,3,4,5},4))&gt;$B$5,TREND($B83:$F83,{1,2,3,4,5},4),E83)</f>
        <v>113</v>
      </c>
      <c r="K83" s="120">
        <f>IF(ABS(F83-TREND($B83:$F83,{1,2,3,4,5},5))/ABS(TREND($B83:$F83,{1,2,3,4,5},5))&gt;$B$5,TREND($B83:$F83,{1,2,3,4,5},5),F83)</f>
        <v>136</v>
      </c>
      <c r="L83" s="121" t="str">
        <f>IF(AND(ABS(B83-TREND($B83:$F83,{1,2,3,4,5},1))/ABS(TREND($B83:$F83,{1,2,3,4,5},1))&gt;$B$5&lt;=$B$5,ABS(C83-TREND($B83:$F83,{1,2,3,4,5},2))/ABS(TREND($B83:$F83,{1,2,3,4,5},2))&gt;$B$5&lt;=$B$5,ABS(D83-TREND($B83:$F83,{1,2,3,4,5},3))/ABS(TREND($B83:$F83,{1,2,3,4,5},3))&gt;$B$5&lt;=$B$5,ABS(E83-TREND($B83:$F83,{1,2,3,4,5},4))/ABS(TREND($B83:$F83,{1,2,3,4,5},4))&gt;$B$5&lt;=$B$5,ABS(F83-TREND($B83:$F83,{1,2,3,4,5},5))/ABS(TREND($B83:$F83,{1,2,3,4,5},5))&gt;$B$5&lt;=$B$5),"✓",TRIM(IF(ABS(B83-TREND($B83:$F83,{1,2,3,4,5},1))/ABS(TREND($B83:$F83,{1,2,3,4,5},1))&gt;$B$5,"⚠Y-5 ","")&amp;IF(ABS(C83-TREND($B83:$F83,{1,2,3,4,5},2))/ABS(TREND($B83:$F83,{1,2,3,4,5},2))&gt;$B$5,"⚠Y-4 ","")&amp;IF(ABS(D83-TREND($B83:$F83,{1,2,3,4,5},3))/ABS(TREND($B83:$F83,{1,2,3,4,5},3))&gt;$B$5,"⚠Y-3 ","")&amp;IF(ABS(E83-TREND($B83:$F83,{1,2,3,4,5},4))/ABS(TREND($B83:$F83,{1,2,3,4,5},4))&gt;$B$5,"⚠Y-2 ","")&amp;IF(ABS(F83-TREND($B83:$F83,{1,2,3,4,5},5))/ABS(TREND($B83:$F83,{1,2,3,4,5},5))&gt;$B$5,"⚠Y-1 ","")))</f>
        <v/>
      </c>
      <c r="M83" s="122">
        <f t="shared" si="50"/>
        <v>0.97836938435940091</v>
      </c>
      <c r="N83" s="122">
        <f t="shared" si="51"/>
        <v>0.97939778129952448</v>
      </c>
      <c r="O83" s="122">
        <f t="shared" si="52"/>
        <v>0.98033282904689856</v>
      </c>
      <c r="P83" s="122">
        <f t="shared" si="53"/>
        <v>0.97624190064794814</v>
      </c>
      <c r="Q83" s="122">
        <f t="shared" si="54"/>
        <v>1.0793650793650793</v>
      </c>
      <c r="R83" s="123">
        <f t="shared" si="55"/>
        <v>1.0288390915170866</v>
      </c>
      <c r="S83" s="124" t="str">
        <f t="shared" si="56"/>
        <v>NS</v>
      </c>
      <c r="T83" s="125" t="str">
        <f t="shared" si="57"/>
        <v>NS</v>
      </c>
      <c r="U83" s="371" t="s">
        <v>239</v>
      </c>
      <c r="V83" s="126">
        <v>7.3930738067038322E-3</v>
      </c>
      <c r="W83" s="127">
        <f t="shared" si="58"/>
        <v>137.00545803771172</v>
      </c>
      <c r="X83" s="150" t="s">
        <v>236</v>
      </c>
      <c r="Y83" s="150" t="s">
        <v>236</v>
      </c>
      <c r="Z83" s="150" t="s">
        <v>236</v>
      </c>
      <c r="AA83" s="131">
        <f t="shared" si="59"/>
        <v>157.26588003933136</v>
      </c>
      <c r="AB83" s="132" t="str">
        <f t="shared" si="60"/>
        <v>⚡ accél.</v>
      </c>
      <c r="AC83" s="133">
        <f t="shared" si="61"/>
        <v>5.3777004358113835E-3</v>
      </c>
      <c r="AD83" s="133">
        <f t="shared" si="62"/>
        <v>7.3930738067038322E-3</v>
      </c>
      <c r="AE83" s="133">
        <f t="shared" si="63"/>
        <v>1.6622135601639214E-2</v>
      </c>
      <c r="AF83" s="134">
        <f t="shared" si="64"/>
        <v>0.73023060056338673</v>
      </c>
      <c r="AG83" s="135">
        <f>Données!G61</f>
        <v>0</v>
      </c>
      <c r="AH83" s="136">
        <f>Données!H61</f>
        <v>0</v>
      </c>
    </row>
    <row r="84" spans="1:34" ht="16.95" customHeight="1" x14ac:dyDescent="0.3">
      <c r="A84" s="110" t="s">
        <v>158</v>
      </c>
      <c r="B84" s="137">
        <f>Données!B62</f>
        <v>100</v>
      </c>
      <c r="C84" s="137">
        <f>Données!C62</f>
        <v>105</v>
      </c>
      <c r="D84" s="137">
        <f>Données!D62</f>
        <v>110</v>
      </c>
      <c r="E84" s="137">
        <f>Données!E62</f>
        <v>116</v>
      </c>
      <c r="F84" s="137">
        <f>Données!F62</f>
        <v>139</v>
      </c>
      <c r="G84" s="137">
        <f>IF(ABS(B84-TREND($B84:$F84,{1,2,3,4,5},1))/ABS(TREND($B84:$F84,{1,2,3,4,5},1))&gt;$B$5,TREND($B84:$F84,{1,2,3,4,5},1),B84)</f>
        <v>100</v>
      </c>
      <c r="H84" s="137">
        <f>IF(ABS(C84-TREND($B84:$F84,{1,2,3,4,5},2))/ABS(TREND($B84:$F84,{1,2,3,4,5},2))&gt;$B$5,TREND($B84:$F84,{1,2,3,4,5},2),C84)</f>
        <v>105</v>
      </c>
      <c r="I84" s="137">
        <f>IF(ABS(D84-TREND($B84:$F84,{1,2,3,4,5},3))/ABS(TREND($B84:$F84,{1,2,3,4,5},3))&gt;$B$5,TREND($B84:$F84,{1,2,3,4,5},3),D84)</f>
        <v>110</v>
      </c>
      <c r="J84" s="137">
        <f>IF(ABS(E84-TREND($B84:$F84,{1,2,3,4,5},4))/ABS(TREND($B84:$F84,{1,2,3,4,5},4))&gt;$B$5,TREND($B84:$F84,{1,2,3,4,5},4),E84)</f>
        <v>116</v>
      </c>
      <c r="K84" s="137">
        <f>IF(ABS(F84-TREND($B84:$F84,{1,2,3,4,5},5))/ABS(TREND($B84:$F84,{1,2,3,4,5},5))&gt;$B$5,TREND($B84:$F84,{1,2,3,4,5},5),F84)</f>
        <v>139</v>
      </c>
      <c r="L84" s="138" t="str">
        <f>IF(AND(ABS(B84-TREND($B84:$F84,{1,2,3,4,5},1))/ABS(TREND($B84:$F84,{1,2,3,4,5},1))&gt;$B$5&lt;=$B$5,ABS(C84-TREND($B84:$F84,{1,2,3,4,5},2))/ABS(TREND($B84:$F84,{1,2,3,4,5},2))&gt;$B$5&lt;=$B$5,ABS(D84-TREND($B84:$F84,{1,2,3,4,5},3))/ABS(TREND($B84:$F84,{1,2,3,4,5},3))&gt;$B$5&lt;=$B$5,ABS(E84-TREND($B84:$F84,{1,2,3,4,5},4))/ABS(TREND($B84:$F84,{1,2,3,4,5},4))&gt;$B$5&lt;=$B$5,ABS(F84-TREND($B84:$F84,{1,2,3,4,5},5))/ABS(TREND($B84:$F84,{1,2,3,4,5},5))&gt;$B$5&lt;=$B$5),"✓",TRIM(IF(ABS(B84-TREND($B84:$F84,{1,2,3,4,5},1))/ABS(TREND($B84:$F84,{1,2,3,4,5},1))&gt;$B$5,"⚠Y-5 ","")&amp;IF(ABS(C84-TREND($B84:$F84,{1,2,3,4,5},2))/ABS(TREND($B84:$F84,{1,2,3,4,5},2))&gt;$B$5,"⚠Y-4 ","")&amp;IF(ABS(D84-TREND($B84:$F84,{1,2,3,4,5},3))/ABS(TREND($B84:$F84,{1,2,3,4,5},3))&gt;$B$5,"⚠Y-3 ","")&amp;IF(ABS(E84-TREND($B84:$F84,{1,2,3,4,5},4))/ABS(TREND($B84:$F84,{1,2,3,4,5},4))&gt;$B$5,"⚠Y-2 ","")&amp;IF(ABS(F84-TREND($B84:$F84,{1,2,3,4,5},5))/ABS(TREND($B84:$F84,{1,2,3,4,5},5))&gt;$B$5,"⚠Y-1 ","")))</f>
        <v/>
      </c>
      <c r="M84" s="139">
        <f t="shared" si="50"/>
        <v>0.99833610648918469</v>
      </c>
      <c r="N84" s="139">
        <f t="shared" si="51"/>
        <v>0.99841521394611721</v>
      </c>
      <c r="O84" s="139">
        <f t="shared" si="52"/>
        <v>0.99848714069591527</v>
      </c>
      <c r="P84" s="139">
        <f t="shared" si="53"/>
        <v>1.0021598272138228</v>
      </c>
      <c r="Q84" s="139">
        <f t="shared" si="54"/>
        <v>1.1031746031746033</v>
      </c>
      <c r="R84" s="123">
        <f t="shared" si="55"/>
        <v>1.0515506648535244</v>
      </c>
      <c r="S84" s="124" t="str">
        <f t="shared" si="56"/>
        <v>NS</v>
      </c>
      <c r="T84" s="125" t="str">
        <f t="shared" si="57"/>
        <v>NS</v>
      </c>
      <c r="U84" s="371" t="s">
        <v>239</v>
      </c>
      <c r="V84" s="126">
        <v>7.3930738067038322E-3</v>
      </c>
      <c r="W84" s="127">
        <f t="shared" si="58"/>
        <v>140.02763725913184</v>
      </c>
      <c r="X84" s="151" t="s">
        <v>236</v>
      </c>
      <c r="Y84" s="151" t="s">
        <v>236</v>
      </c>
      <c r="Z84" s="151" t="s">
        <v>236</v>
      </c>
      <c r="AA84" s="131">
        <f t="shared" si="59"/>
        <v>160.56678683385582</v>
      </c>
      <c r="AB84" s="143" t="str">
        <f t="shared" si="60"/>
        <v>⚡ accél.</v>
      </c>
      <c r="AC84" s="133">
        <f t="shared" si="61"/>
        <v>5.3777004358113835E-3</v>
      </c>
      <c r="AD84" s="133">
        <f t="shared" si="62"/>
        <v>7.3930738067038322E-3</v>
      </c>
      <c r="AE84" s="133">
        <f t="shared" si="63"/>
        <v>1.6622135601639214E-2</v>
      </c>
      <c r="AF84" s="134">
        <f t="shared" si="64"/>
        <v>0.73023060056338673</v>
      </c>
      <c r="AG84" s="144">
        <f>Données!G62</f>
        <v>0</v>
      </c>
      <c r="AH84" s="145">
        <f>Données!H62</f>
        <v>0</v>
      </c>
    </row>
    <row r="85" spans="1:34" ht="18" customHeight="1" x14ac:dyDescent="0.3">
      <c r="A85" s="146" t="s">
        <v>29</v>
      </c>
      <c r="B85" s="147">
        <f t="shared" ref="B85:K85" si="65">SUM(B73:B84)</f>
        <v>1202</v>
      </c>
      <c r="C85" s="147">
        <f t="shared" si="65"/>
        <v>1262</v>
      </c>
      <c r="D85" s="147">
        <f t="shared" si="65"/>
        <v>1322</v>
      </c>
      <c r="E85" s="147">
        <f t="shared" si="65"/>
        <v>1389</v>
      </c>
      <c r="F85" s="147">
        <f t="shared" si="65"/>
        <v>1512</v>
      </c>
      <c r="G85" s="147">
        <f t="shared" si="65"/>
        <v>1202</v>
      </c>
      <c r="H85" s="147">
        <f t="shared" si="65"/>
        <v>1262</v>
      </c>
      <c r="I85" s="147">
        <f t="shared" si="65"/>
        <v>1322</v>
      </c>
      <c r="J85" s="147">
        <f t="shared" si="65"/>
        <v>1389</v>
      </c>
      <c r="K85" s="147">
        <f t="shared" si="65"/>
        <v>1512</v>
      </c>
      <c r="L85" s="148"/>
      <c r="M85" s="148"/>
      <c r="N85" s="148"/>
      <c r="O85" s="148"/>
      <c r="P85" s="148"/>
      <c r="Q85" s="148"/>
      <c r="R85" s="148"/>
      <c r="S85" s="148"/>
      <c r="T85" s="148"/>
      <c r="U85" s="148"/>
      <c r="V85" s="148"/>
      <c r="W85" s="147">
        <f>SUM(W73:W84)</f>
        <v>1523.1783275957362</v>
      </c>
      <c r="X85" s="147">
        <f>SUM(X73:X84)</f>
        <v>0</v>
      </c>
      <c r="Y85" s="147">
        <f>SUM(Y73:Y84)</f>
        <v>0</v>
      </c>
      <c r="Z85" s="149">
        <f>SUM(Z73:Z84)</f>
        <v>0</v>
      </c>
      <c r="AA85" s="147">
        <f>SUM(AA73:AA84)</f>
        <v>1632.7001337230774</v>
      </c>
      <c r="AB85" s="148"/>
      <c r="AC85" s="148"/>
      <c r="AD85" s="148"/>
      <c r="AE85" s="148"/>
      <c r="AF85" s="148"/>
      <c r="AG85" s="148"/>
      <c r="AH85" s="148"/>
    </row>
    <row r="86" spans="1:34" ht="4.95" customHeight="1" x14ac:dyDescent="0.3">
      <c r="A86" s="48"/>
      <c r="B86" s="48"/>
      <c r="C86" s="48"/>
      <c r="D86" s="48"/>
      <c r="E86" s="48"/>
      <c r="F86" s="48"/>
      <c r="G86" s="48"/>
      <c r="H86" s="48"/>
      <c r="I86" s="48"/>
      <c r="J86" s="48"/>
      <c r="K86" s="48"/>
      <c r="L86" s="48"/>
      <c r="M86" s="48"/>
      <c r="N86" s="48"/>
      <c r="O86" s="48"/>
      <c r="P86" s="48"/>
      <c r="Q86" s="48"/>
      <c r="R86" s="48"/>
      <c r="S86" s="48"/>
      <c r="T86" s="48"/>
      <c r="U86" s="48"/>
    </row>
    <row r="87" spans="1:34" ht="16.05" customHeight="1" x14ac:dyDescent="0.3">
      <c r="A87" s="49" t="s">
        <v>240</v>
      </c>
      <c r="B87" s="50">
        <f>SUMPRODUCT(ABS(J73:J84*(J73:J84/I73:I84)-K73:K84)/K73:K84)/12</f>
        <v>3.4039473331618345E-2</v>
      </c>
      <c r="C87" s="381" t="s">
        <v>233</v>
      </c>
      <c r="D87" s="373"/>
      <c r="E87" s="373"/>
      <c r="F87" s="373"/>
      <c r="G87" s="373"/>
      <c r="H87" s="373"/>
      <c r="I87" s="373"/>
      <c r="J87" s="373"/>
      <c r="K87" s="373"/>
      <c r="L87" s="373"/>
      <c r="M87" s="373"/>
      <c r="N87" s="373"/>
      <c r="O87" s="373"/>
      <c r="P87" s="373"/>
      <c r="Q87" s="373"/>
      <c r="R87" s="373"/>
      <c r="S87" s="373"/>
      <c r="T87" s="374"/>
    </row>
  </sheetData>
  <mergeCells count="26">
    <mergeCell ref="C8:F8"/>
    <mergeCell ref="A2:AH2"/>
    <mergeCell ref="C13:AH13"/>
    <mergeCell ref="C7:F7"/>
    <mergeCell ref="C15:AH15"/>
    <mergeCell ref="A4:AH4"/>
    <mergeCell ref="C6:AH6"/>
    <mergeCell ref="C14:AH14"/>
    <mergeCell ref="C5:AH5"/>
    <mergeCell ref="K7:AH7"/>
    <mergeCell ref="A1:AH1"/>
    <mergeCell ref="C12:AH12"/>
    <mergeCell ref="C53:T53"/>
    <mergeCell ref="C87:T87"/>
    <mergeCell ref="C11:AH11"/>
    <mergeCell ref="C9:F9"/>
    <mergeCell ref="A38:T38"/>
    <mergeCell ref="A72:T72"/>
    <mergeCell ref="K9:AH9"/>
    <mergeCell ref="C36:T36"/>
    <mergeCell ref="K8:AH8"/>
    <mergeCell ref="C70:T70"/>
    <mergeCell ref="C10:AH10"/>
    <mergeCell ref="C16:AH16"/>
    <mergeCell ref="A21:T21"/>
    <mergeCell ref="A55:T55"/>
  </mergeCells>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87"/>
  <sheetViews>
    <sheetView workbookViewId="0">
      <pane xSplit="1" ySplit="20" topLeftCell="B21" activePane="bottomRight" state="frozen"/>
      <selection pane="topRight"/>
      <selection pane="bottomLeft"/>
      <selection pane="bottomRight"/>
    </sheetView>
  </sheetViews>
  <sheetFormatPr defaultRowHeight="14.4" x14ac:dyDescent="0.3"/>
  <cols>
    <col min="1" max="1" width="9" customWidth="1"/>
    <col min="2" max="11" width="7" customWidth="1"/>
    <col min="12" max="12" width="9" customWidth="1"/>
    <col min="13" max="17" width="5" customWidth="1"/>
    <col min="18" max="18" width="9" customWidth="1"/>
    <col min="19" max="19" width="7" customWidth="1"/>
    <col min="20" max="20" width="8" customWidth="1"/>
    <col min="21" max="21" width="5" customWidth="1"/>
    <col min="22" max="22" width="9" customWidth="1"/>
    <col min="23" max="23" width="10" customWidth="1"/>
    <col min="24" max="25" width="9" customWidth="1"/>
    <col min="26" max="26" width="11" customWidth="1"/>
    <col min="27" max="27" width="10" customWidth="1"/>
    <col min="28" max="28" width="13" customWidth="1"/>
    <col min="29" max="31" width="7" customWidth="1"/>
    <col min="32" max="32" width="6" customWidth="1"/>
    <col min="33" max="34" width="8" customWidth="1"/>
    <col min="35" max="37" width="10" customWidth="1"/>
    <col min="38" max="39" width="22" customWidth="1"/>
    <col min="40" max="41" width="10" customWidth="1"/>
  </cols>
  <sheetData>
    <row r="1" spans="1:41" ht="31.95" customHeight="1" x14ac:dyDescent="0.3">
      <c r="A1" s="410" t="s">
        <v>241</v>
      </c>
      <c r="B1" s="373"/>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4"/>
    </row>
    <row r="2" spans="1:41" ht="40.049999999999997" customHeight="1" x14ac:dyDescent="0.3">
      <c r="A2" s="400" t="s">
        <v>242</v>
      </c>
      <c r="B2" s="373"/>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c r="AL2" s="373"/>
      <c r="AM2" s="373"/>
      <c r="AN2" s="373"/>
      <c r="AO2" s="374"/>
    </row>
    <row r="3" spans="1:41" ht="4.95" customHeight="1" x14ac:dyDescent="0.3">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8" customHeight="1" x14ac:dyDescent="0.3">
      <c r="A4" s="409" t="s">
        <v>164</v>
      </c>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4"/>
    </row>
    <row r="5" spans="1:41" ht="16.05" customHeight="1" x14ac:dyDescent="0.3">
      <c r="A5" s="111" t="s">
        <v>165</v>
      </c>
      <c r="B5" s="112">
        <v>0.15</v>
      </c>
      <c r="C5" s="406" t="s">
        <v>166</v>
      </c>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4"/>
    </row>
    <row r="6" spans="1:41" ht="16.05" customHeight="1" x14ac:dyDescent="0.3">
      <c r="A6" s="111" t="s">
        <v>167</v>
      </c>
      <c r="B6" s="112">
        <v>0.75</v>
      </c>
      <c r="C6" s="406" t="s">
        <v>168</v>
      </c>
      <c r="D6" s="373"/>
      <c r="E6" s="373"/>
      <c r="F6" s="373"/>
      <c r="G6" s="373"/>
      <c r="H6" s="373"/>
      <c r="I6" s="373"/>
      <c r="J6" s="373"/>
      <c r="K6" s="373"/>
      <c r="L6" s="373"/>
      <c r="M6" s="373"/>
      <c r="N6" s="373"/>
      <c r="O6" s="373"/>
      <c r="P6" s="373"/>
      <c r="Q6" s="373"/>
      <c r="R6" s="373"/>
      <c r="S6" s="373"/>
      <c r="T6" s="373"/>
      <c r="U6" s="373"/>
      <c r="V6" s="373"/>
      <c r="W6" s="373"/>
      <c r="X6" s="373"/>
      <c r="Y6" s="373"/>
      <c r="Z6" s="373"/>
      <c r="AA6" s="373"/>
      <c r="AB6" s="373"/>
      <c r="AC6" s="373"/>
      <c r="AD6" s="373"/>
      <c r="AE6" s="373"/>
      <c r="AF6" s="373"/>
      <c r="AG6" s="373"/>
      <c r="AH6" s="374"/>
    </row>
    <row r="7" spans="1:41" ht="16.05" customHeight="1" x14ac:dyDescent="0.3">
      <c r="A7" s="111" t="s">
        <v>169</v>
      </c>
      <c r="B7" s="112">
        <v>1.2</v>
      </c>
      <c r="C7" s="406" t="s">
        <v>170</v>
      </c>
      <c r="D7" s="373"/>
      <c r="E7" s="373"/>
      <c r="F7" s="374"/>
      <c r="I7" s="113" t="s">
        <v>171</v>
      </c>
      <c r="J7" s="114">
        <v>3.0000000000000001E-3</v>
      </c>
      <c r="K7" s="407" t="s">
        <v>172</v>
      </c>
      <c r="L7" s="373"/>
      <c r="M7" s="373"/>
      <c r="N7" s="373"/>
      <c r="O7" s="373"/>
      <c r="P7" s="373"/>
      <c r="Q7" s="373"/>
      <c r="R7" s="373"/>
      <c r="S7" s="373"/>
      <c r="T7" s="373"/>
      <c r="U7" s="373"/>
      <c r="V7" s="373"/>
      <c r="W7" s="373"/>
      <c r="X7" s="373"/>
      <c r="Y7" s="373"/>
      <c r="Z7" s="373"/>
      <c r="AA7" s="373"/>
      <c r="AB7" s="373"/>
      <c r="AC7" s="373"/>
      <c r="AD7" s="373"/>
      <c r="AE7" s="373"/>
      <c r="AF7" s="373"/>
      <c r="AG7" s="373"/>
      <c r="AH7" s="374"/>
    </row>
    <row r="8" spans="1:41" ht="16.05" customHeight="1" x14ac:dyDescent="0.3">
      <c r="A8" s="111" t="s">
        <v>173</v>
      </c>
      <c r="B8" s="112">
        <v>0.05</v>
      </c>
      <c r="C8" s="406" t="s">
        <v>174</v>
      </c>
      <c r="D8" s="373"/>
      <c r="E8" s="373"/>
      <c r="F8" s="374"/>
      <c r="I8" s="113" t="s">
        <v>175</v>
      </c>
      <c r="J8" s="114">
        <v>0.01</v>
      </c>
      <c r="K8" s="407" t="s">
        <v>176</v>
      </c>
      <c r="L8" s="373"/>
      <c r="M8" s="373"/>
      <c r="N8" s="373"/>
      <c r="O8" s="373"/>
      <c r="P8" s="373"/>
      <c r="Q8" s="373"/>
      <c r="R8" s="373"/>
      <c r="S8" s="373"/>
      <c r="T8" s="373"/>
      <c r="U8" s="373"/>
      <c r="V8" s="373"/>
      <c r="W8" s="373"/>
      <c r="X8" s="373"/>
      <c r="Y8" s="373"/>
      <c r="Z8" s="373"/>
      <c r="AA8" s="373"/>
      <c r="AB8" s="373"/>
      <c r="AC8" s="373"/>
      <c r="AD8" s="373"/>
      <c r="AE8" s="373"/>
      <c r="AF8" s="373"/>
      <c r="AG8" s="373"/>
      <c r="AH8" s="374"/>
    </row>
    <row r="9" spans="1:41" ht="16.05" customHeight="1" x14ac:dyDescent="0.3">
      <c r="A9" s="111" t="s">
        <v>177</v>
      </c>
      <c r="B9" s="112">
        <v>0.1</v>
      </c>
      <c r="C9" s="406" t="s">
        <v>178</v>
      </c>
      <c r="D9" s="373"/>
      <c r="E9" s="373"/>
      <c r="F9" s="374"/>
      <c r="I9" s="113" t="s">
        <v>179</v>
      </c>
      <c r="J9" s="114">
        <v>0.85</v>
      </c>
      <c r="K9" s="407" t="s">
        <v>180</v>
      </c>
      <c r="L9" s="373"/>
      <c r="M9" s="373"/>
      <c r="N9" s="373"/>
      <c r="O9" s="373"/>
      <c r="P9" s="373"/>
      <c r="Q9" s="373"/>
      <c r="R9" s="373"/>
      <c r="S9" s="373"/>
      <c r="T9" s="373"/>
      <c r="U9" s="373"/>
      <c r="V9" s="373"/>
      <c r="W9" s="373"/>
      <c r="X9" s="373"/>
      <c r="Y9" s="373"/>
      <c r="Z9" s="373"/>
      <c r="AA9" s="373"/>
      <c r="AB9" s="373"/>
      <c r="AC9" s="373"/>
      <c r="AD9" s="373"/>
      <c r="AE9" s="373"/>
      <c r="AF9" s="373"/>
      <c r="AG9" s="373"/>
      <c r="AH9" s="374"/>
    </row>
    <row r="10" spans="1:41" ht="16.05" customHeight="1" x14ac:dyDescent="0.3">
      <c r="A10" s="111" t="s">
        <v>181</v>
      </c>
      <c r="B10" s="112">
        <v>0.15</v>
      </c>
      <c r="C10" s="406" t="s">
        <v>182</v>
      </c>
      <c r="D10" s="373"/>
      <c r="E10" s="373"/>
      <c r="F10" s="373"/>
      <c r="G10" s="373"/>
      <c r="H10" s="373"/>
      <c r="I10" s="373"/>
      <c r="J10" s="373"/>
      <c r="K10" s="373"/>
      <c r="L10" s="373"/>
      <c r="M10" s="373"/>
      <c r="N10" s="373"/>
      <c r="O10" s="373"/>
      <c r="P10" s="373"/>
      <c r="Q10" s="373"/>
      <c r="R10" s="373"/>
      <c r="S10" s="373"/>
      <c r="T10" s="373"/>
      <c r="U10" s="373"/>
      <c r="V10" s="373"/>
      <c r="W10" s="373"/>
      <c r="X10" s="373"/>
      <c r="Y10" s="373"/>
      <c r="Z10" s="373"/>
      <c r="AA10" s="373"/>
      <c r="AB10" s="373"/>
      <c r="AC10" s="373"/>
      <c r="AD10" s="373"/>
      <c r="AE10" s="373"/>
      <c r="AF10" s="373"/>
      <c r="AG10" s="373"/>
      <c r="AH10" s="374"/>
    </row>
    <row r="11" spans="1:41" ht="16.05" customHeight="1" x14ac:dyDescent="0.3">
      <c r="A11" s="111" t="s">
        <v>183</v>
      </c>
      <c r="B11" s="112">
        <v>0.2</v>
      </c>
      <c r="C11" s="406" t="s">
        <v>184</v>
      </c>
      <c r="D11" s="373"/>
      <c r="E11" s="373"/>
      <c r="F11" s="373"/>
      <c r="G11" s="373"/>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4"/>
    </row>
    <row r="12" spans="1:41" ht="16.05" customHeight="1" x14ac:dyDescent="0.3">
      <c r="A12" s="111" t="s">
        <v>185</v>
      </c>
      <c r="B12" s="112">
        <v>0.5</v>
      </c>
      <c r="C12" s="406" t="s">
        <v>186</v>
      </c>
      <c r="D12" s="373"/>
      <c r="E12" s="373"/>
      <c r="F12" s="373"/>
      <c r="G12" s="373"/>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373"/>
      <c r="AH12" s="374"/>
    </row>
    <row r="13" spans="1:41" ht="16.05" customHeight="1" x14ac:dyDescent="0.3">
      <c r="A13" s="111" t="s">
        <v>187</v>
      </c>
      <c r="B13" s="112">
        <f>SUM(B8:B12)</f>
        <v>1</v>
      </c>
      <c r="C13" s="406" t="s">
        <v>188</v>
      </c>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4"/>
    </row>
    <row r="14" spans="1:41" ht="16.05" customHeight="1" x14ac:dyDescent="0.3">
      <c r="A14" s="111" t="s">
        <v>189</v>
      </c>
      <c r="B14" s="112">
        <v>0.7</v>
      </c>
      <c r="C14" s="406" t="s">
        <v>190</v>
      </c>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4"/>
    </row>
    <row r="15" spans="1:41" ht="16.05" customHeight="1" x14ac:dyDescent="0.3">
      <c r="A15" s="111" t="s">
        <v>191</v>
      </c>
      <c r="B15" s="112">
        <f>1-B14</f>
        <v>0.30000000000000004</v>
      </c>
      <c r="C15" s="406" t="s">
        <v>192</v>
      </c>
      <c r="D15" s="373"/>
      <c r="E15" s="373"/>
      <c r="F15" s="373"/>
      <c r="G15" s="373"/>
      <c r="H15" s="373"/>
      <c r="I15" s="373"/>
      <c r="J15" s="373"/>
      <c r="K15" s="373"/>
      <c r="L15" s="373"/>
      <c r="M15" s="373"/>
      <c r="N15" s="373"/>
      <c r="O15" s="373"/>
      <c r="P15" s="373"/>
      <c r="Q15" s="373"/>
      <c r="R15" s="373"/>
      <c r="S15" s="373"/>
      <c r="T15" s="373"/>
      <c r="U15" s="373"/>
      <c r="V15" s="373"/>
      <c r="W15" s="373"/>
      <c r="X15" s="373"/>
      <c r="Y15" s="373"/>
      <c r="Z15" s="373"/>
      <c r="AA15" s="373"/>
      <c r="AB15" s="373"/>
      <c r="AC15" s="373"/>
      <c r="AD15" s="373"/>
      <c r="AE15" s="373"/>
      <c r="AF15" s="373"/>
      <c r="AG15" s="373"/>
      <c r="AH15" s="374"/>
    </row>
    <row r="16" spans="1:41" ht="16.05" customHeight="1" x14ac:dyDescent="0.3">
      <c r="A16" s="111" t="s">
        <v>193</v>
      </c>
      <c r="B16" s="112">
        <v>0.1</v>
      </c>
      <c r="C16" s="406" t="s">
        <v>194</v>
      </c>
      <c r="D16" s="373"/>
      <c r="E16" s="373"/>
      <c r="F16" s="373"/>
      <c r="G16" s="373"/>
      <c r="H16" s="373"/>
      <c r="I16" s="373"/>
      <c r="J16" s="373"/>
      <c r="K16" s="373"/>
      <c r="L16" s="373"/>
      <c r="M16" s="373"/>
      <c r="N16" s="373"/>
      <c r="O16" s="373"/>
      <c r="P16" s="373"/>
      <c r="Q16" s="373"/>
      <c r="R16" s="373"/>
      <c r="S16" s="373"/>
      <c r="T16" s="373"/>
      <c r="U16" s="373"/>
      <c r="V16" s="373"/>
      <c r="W16" s="373"/>
      <c r="X16" s="373"/>
      <c r="Y16" s="373"/>
      <c r="Z16" s="373"/>
      <c r="AA16" s="373"/>
      <c r="AB16" s="373"/>
      <c r="AC16" s="373"/>
      <c r="AD16" s="373"/>
      <c r="AE16" s="373"/>
      <c r="AF16" s="373"/>
      <c r="AG16" s="373"/>
      <c r="AH16" s="374"/>
    </row>
    <row r="17" spans="1:41" ht="4.95" customHeight="1" x14ac:dyDescent="0.3">
      <c r="A17" s="48"/>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row>
    <row r="18" spans="1:41" ht="18" customHeight="1" x14ac:dyDescent="0.3">
      <c r="A18" s="115" t="s">
        <v>2</v>
      </c>
      <c r="B18" s="115" t="s">
        <v>143</v>
      </c>
      <c r="C18" s="115" t="s">
        <v>144</v>
      </c>
      <c r="D18" s="115" t="s">
        <v>3</v>
      </c>
      <c r="E18" s="115" t="s">
        <v>4</v>
      </c>
      <c r="F18" s="115" t="s">
        <v>5</v>
      </c>
      <c r="G18" s="115" t="s">
        <v>143</v>
      </c>
      <c r="H18" s="115" t="s">
        <v>144</v>
      </c>
      <c r="I18" s="115" t="s">
        <v>3</v>
      </c>
      <c r="J18" s="115" t="s">
        <v>4</v>
      </c>
      <c r="K18" s="115" t="s">
        <v>5</v>
      </c>
      <c r="L18" s="115" t="s">
        <v>195</v>
      </c>
      <c r="M18" s="115" t="s">
        <v>196</v>
      </c>
      <c r="N18" s="115" t="s">
        <v>196</v>
      </c>
      <c r="O18" s="115" t="s">
        <v>196</v>
      </c>
      <c r="P18" s="115" t="s">
        <v>196</v>
      </c>
      <c r="Q18" s="115" t="s">
        <v>196</v>
      </c>
      <c r="R18" s="115" t="s">
        <v>197</v>
      </c>
      <c r="S18" s="115" t="s">
        <v>198</v>
      </c>
      <c r="T18" s="115" t="s">
        <v>198</v>
      </c>
      <c r="U18" s="116" t="s">
        <v>199</v>
      </c>
      <c r="V18" s="116" t="s">
        <v>200</v>
      </c>
      <c r="W18" s="115" t="s">
        <v>201</v>
      </c>
      <c r="X18" s="115" t="s">
        <v>202</v>
      </c>
      <c r="Y18" s="115" t="s">
        <v>203</v>
      </c>
      <c r="Z18" s="115" t="s">
        <v>204</v>
      </c>
      <c r="AA18" s="115" t="s">
        <v>205</v>
      </c>
      <c r="AB18" s="115" t="s">
        <v>206</v>
      </c>
      <c r="AG18" s="117" t="s">
        <v>99</v>
      </c>
      <c r="AH18" s="117" t="s">
        <v>146</v>
      </c>
      <c r="AI18" s="152" t="s">
        <v>243</v>
      </c>
      <c r="AJ18" s="152" t="s">
        <v>244</v>
      </c>
      <c r="AK18" s="152" t="s">
        <v>244</v>
      </c>
      <c r="AL18" s="152" t="s">
        <v>245</v>
      </c>
      <c r="AM18" s="152" t="s">
        <v>245</v>
      </c>
      <c r="AN18" s="152" t="s">
        <v>246</v>
      </c>
      <c r="AO18" s="152" t="s">
        <v>244</v>
      </c>
    </row>
    <row r="19" spans="1:41" ht="42" customHeight="1" x14ac:dyDescent="0.3">
      <c r="A19" s="118"/>
      <c r="B19" s="118" t="s">
        <v>207</v>
      </c>
      <c r="C19" s="118" t="s">
        <v>207</v>
      </c>
      <c r="D19" s="118" t="s">
        <v>207</v>
      </c>
      <c r="E19" s="118" t="s">
        <v>207</v>
      </c>
      <c r="F19" s="118" t="s">
        <v>207</v>
      </c>
      <c r="G19" s="118" t="s">
        <v>208</v>
      </c>
      <c r="H19" s="118" t="s">
        <v>208</v>
      </c>
      <c r="I19" s="118" t="s">
        <v>208</v>
      </c>
      <c r="J19" s="118" t="s">
        <v>208</v>
      </c>
      <c r="K19" s="118" t="s">
        <v>208</v>
      </c>
      <c r="L19" s="118" t="s">
        <v>209</v>
      </c>
      <c r="M19" s="118" t="s">
        <v>210</v>
      </c>
      <c r="N19" s="118" t="s">
        <v>211</v>
      </c>
      <c r="O19" s="118" t="s">
        <v>212</v>
      </c>
      <c r="P19" s="118" t="s">
        <v>213</v>
      </c>
      <c r="Q19" s="118" t="s">
        <v>214</v>
      </c>
      <c r="R19" s="118" t="s">
        <v>209</v>
      </c>
      <c r="S19" s="118" t="s">
        <v>215</v>
      </c>
      <c r="T19" s="118" t="s">
        <v>216</v>
      </c>
      <c r="U19" s="118" t="s">
        <v>217</v>
      </c>
      <c r="V19" s="118" t="s">
        <v>218</v>
      </c>
      <c r="W19" s="118" t="s">
        <v>219</v>
      </c>
      <c r="X19" s="118" t="s">
        <v>220</v>
      </c>
      <c r="Y19" s="118" t="s">
        <v>220</v>
      </c>
      <c r="Z19" s="118" t="s">
        <v>221</v>
      </c>
      <c r="AA19" s="118" t="s">
        <v>222</v>
      </c>
      <c r="AB19" s="118" t="s">
        <v>223</v>
      </c>
      <c r="AC19" s="119" t="s">
        <v>224</v>
      </c>
      <c r="AD19" s="119" t="s">
        <v>225</v>
      </c>
      <c r="AE19" s="119" t="s">
        <v>226</v>
      </c>
      <c r="AF19" s="119" t="s">
        <v>227</v>
      </c>
      <c r="AG19" s="118" t="s">
        <v>228</v>
      </c>
      <c r="AH19" s="118" t="s">
        <v>229</v>
      </c>
      <c r="AI19" s="118" t="s">
        <v>247</v>
      </c>
      <c r="AJ19" s="118" t="s">
        <v>248</v>
      </c>
      <c r="AK19" s="118" t="s">
        <v>249</v>
      </c>
      <c r="AL19" s="118" t="s">
        <v>250</v>
      </c>
      <c r="AM19" s="118" t="s">
        <v>250</v>
      </c>
      <c r="AN19" s="118" t="s">
        <v>251</v>
      </c>
      <c r="AO19" s="118" t="s">
        <v>252</v>
      </c>
    </row>
    <row r="20" spans="1:41" ht="4.95" customHeight="1" x14ac:dyDescent="0.3">
      <c r="A20" s="48"/>
      <c r="B20" s="48"/>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row>
    <row r="21" spans="1:41" ht="18" customHeight="1" x14ac:dyDescent="0.3">
      <c r="A21" s="399" t="s">
        <v>230</v>
      </c>
      <c r="B21" s="373"/>
      <c r="C21" s="373"/>
      <c r="D21" s="373"/>
      <c r="E21" s="373"/>
      <c r="F21" s="373"/>
      <c r="G21" s="373"/>
      <c r="H21" s="373"/>
      <c r="I21" s="373"/>
      <c r="J21" s="373"/>
      <c r="K21" s="373"/>
      <c r="L21" s="373"/>
      <c r="M21" s="373"/>
      <c r="N21" s="373"/>
      <c r="O21" s="373"/>
      <c r="P21" s="373"/>
      <c r="Q21" s="373"/>
      <c r="R21" s="373"/>
      <c r="S21" s="373"/>
      <c r="T21" s="374"/>
    </row>
    <row r="22" spans="1:41" ht="16.95" customHeight="1" x14ac:dyDescent="0.3">
      <c r="A22" s="106" t="s">
        <v>147</v>
      </c>
      <c r="B22" s="120">
        <f>Données!B6</f>
        <v>77</v>
      </c>
      <c r="C22" s="120">
        <f>Données!C6</f>
        <v>79</v>
      </c>
      <c r="D22" s="120">
        <f>Données!D6</f>
        <v>81</v>
      </c>
      <c r="E22" s="120">
        <f>Données!E6</f>
        <v>83</v>
      </c>
      <c r="F22" s="120">
        <f>Données!F6</f>
        <v>85</v>
      </c>
      <c r="G22" s="120">
        <f>IF(ABS(B22-TREND($B22:$F22,{1,2,3,4,5},1))/ABS(TREND($B22:$F22,{1,2,3,4,5},1))&gt;$B$5,TREND($B22:$F22,{1,2,3,4,5},1),B22)</f>
        <v>77</v>
      </c>
      <c r="H22" s="120">
        <f>IF(ABS(C22-TREND($B22:$F22,{1,2,3,4,5},2))/ABS(TREND($B22:$F22,{1,2,3,4,5},2))&gt;$B$5,TREND($B22:$F22,{1,2,3,4,5},2),C22)</f>
        <v>79</v>
      </c>
      <c r="I22" s="120">
        <f>IF(ABS(D22-TREND($B22:$F22,{1,2,3,4,5},3))/ABS(TREND($B22:$F22,{1,2,3,4,5},3))&gt;$B$5,TREND($B22:$F22,{1,2,3,4,5},3),D22)</f>
        <v>81</v>
      </c>
      <c r="J22" s="120">
        <f>IF(ABS(E22-TREND($B22:$F22,{1,2,3,4,5},4))/ABS(TREND($B22:$F22,{1,2,3,4,5},4))&gt;$B$5,TREND($B22:$F22,{1,2,3,4,5},4),E22)</f>
        <v>83</v>
      </c>
      <c r="K22" s="120">
        <f>IF(ABS(F22-TREND($B22:$F22,{1,2,3,4,5},5))/ABS(TREND($B22:$F22,{1,2,3,4,5},5))&gt;$B$5,TREND($B22:$F22,{1,2,3,4,5},5),F22)</f>
        <v>85</v>
      </c>
      <c r="L22" s="121" t="str">
        <f>IF(AND(ABS(B22-TREND($B22:$F22,{1,2,3,4,5},1))/ABS(TREND($B22:$F22,{1,2,3,4,5},1))&gt;$B$5&lt;=$B$5,ABS(C22-TREND($B22:$F22,{1,2,3,4,5},2))/ABS(TREND($B22:$F22,{1,2,3,4,5},2))&gt;$B$5&lt;=$B$5,ABS(D22-TREND($B22:$F22,{1,2,3,4,5},3))/ABS(TREND($B22:$F22,{1,2,3,4,5},3))&gt;$B$5&lt;=$B$5,ABS(E22-TREND($B22:$F22,{1,2,3,4,5},4))/ABS(TREND($B22:$F22,{1,2,3,4,5},4))&gt;$B$5&lt;=$B$5,ABS(F22-TREND($B22:$F22,{1,2,3,4,5},5))/ABS(TREND($B22:$F22,{1,2,3,4,5},5))&gt;$B$5&lt;=$B$5),"✓",TRIM(IF(ABS(B22-TREND($B22:$F22,{1,2,3,4,5},1))/ABS(TREND($B22:$F22,{1,2,3,4,5},1))&gt;$B$5,"⚠Y-5 ","")&amp;IF(ABS(C22-TREND($B22:$F22,{1,2,3,4,5},2))/ABS(TREND($B22:$F22,{1,2,3,4,5},2))&gt;$B$5,"⚠Y-4 ","")&amp;IF(ABS(D22-TREND($B22:$F22,{1,2,3,4,5},3))/ABS(TREND($B22:$F22,{1,2,3,4,5},3))&gt;$B$5,"⚠Y-3 ","")&amp;IF(ABS(E22-TREND($B22:$F22,{1,2,3,4,5},4))/ABS(TREND($B22:$F22,{1,2,3,4,5},4))&gt;$B$5,"⚠Y-2 ","")&amp;IF(ABS(F22-TREND($B22:$F22,{1,2,3,4,5},5))/ABS(TREND($B22:$F22,{1,2,3,4,5},5))&gt;$B$5,"⚠Y-1 ","")))</f>
        <v/>
      </c>
      <c r="M22" s="122">
        <f t="shared" ref="M22:M33" si="0">G22/AVERAGE($G$22:$G$33)</f>
        <v>0.90677134445534835</v>
      </c>
      <c r="N22" s="122">
        <f t="shared" ref="N22:N33" si="1">H22/AVERAGE($H$22:$H$33)</f>
        <v>0.90891658676893572</v>
      </c>
      <c r="O22" s="122">
        <f t="shared" ref="O22:O33" si="2">I22/AVERAGE($I$22:$I$33)</f>
        <v>0.9109653233364573</v>
      </c>
      <c r="P22" s="122">
        <f t="shared" ref="P22:P33" si="3">J22/AVERAGE($J$22:$J$33)</f>
        <v>0.90405736588908048</v>
      </c>
      <c r="Q22" s="122">
        <f t="shared" ref="Q22:Q33" si="4">K22/AVERAGE($K$22:$K$33)</f>
        <v>0.91316025067144135</v>
      </c>
      <c r="R22" s="123">
        <f t="shared" ref="R22:R33" si="5">$B$8*M22+$B$9*N22+$B$10*O22+$B$11*P22+$B$12*Q22</f>
        <v>0.91026662291366633</v>
      </c>
      <c r="S22" s="124" t="str">
        <f t="shared" ref="S22:S33" si="6">IF(R22&lt;$B$6,"SB",IF(R22&gt;$B$7,"SH","NS"))</f>
        <v>NS</v>
      </c>
      <c r="T22" s="125" t="str">
        <f t="shared" ref="T22:T33" si="7">IF(SUMPRODUCT(--(M22:Q22&gt;$B$7))&gt;2.5,"SH",IF(SUMPRODUCT(--(M22:Q22&lt;$B$6))&gt;2.5,"SB","NS"))</f>
        <v>NS</v>
      </c>
      <c r="U22" s="153" t="str">
        <f t="shared" ref="U22:U33" si="8">IFERROR(IF(AND(ABS(AC22-AD22)&lt;$J$7,ABS(AD22-AE22)&lt;$J$7),"H1",IF(ABS(AC22-AD22)&gt;=$J$7,IF(ABS(AE22-AD22)&lt;=ABS(AE22-AC22),"H2","H2b"),"H3")),"—")</f>
        <v>H1</v>
      </c>
      <c r="V22" s="126">
        <f t="shared" ref="V22:V33" si="9">IFERROR(IF(U22="H1",AC22,IF(OR(U22="H2",U22="H2b"),IF(U22="H2",AF22*AD22+(1-AF22)*AC22,(1-AF22)*AD22+AF22*AC22),IF(ABS(AE22-AD22)&lt;=ABS(AE22-AC22),AD22,AC22))),AC22)</f>
        <v>2.0414224406140641E-3</v>
      </c>
      <c r="W22" s="127">
        <f t="shared" ref="W22:W33" si="10">K22*(1+V22)*(1+AG22*AH22)</f>
        <v>85.173520907452186</v>
      </c>
      <c r="X22" s="128">
        <v>87.4</v>
      </c>
      <c r="Y22" s="129">
        <v>86.8</v>
      </c>
      <c r="Z22" s="130">
        <f t="shared" ref="Z22:Z33" si="11">W22-Y22</f>
        <v>-1.626479092547811</v>
      </c>
      <c r="AA22" s="131">
        <f t="shared" ref="AA22:AA33" si="12">K22*($B$14*K22/J22+$B$15*J22/I22)*(1+AG22*AH22)</f>
        <v>87.063364569388668</v>
      </c>
      <c r="AB22" s="132" t="str">
        <f t="shared" ref="AB22:AB33" si="13">IF(SIGN(K22/J22-1)&lt;&gt;SIGN(J22/I22-1),"⚠ retournement",IF(ABS(K22/J22-J22/I22)&gt;$B$16,"⚡ accél.",""))</f>
        <v/>
      </c>
      <c r="AC22" s="133">
        <f t="shared" ref="AC22:AC33" si="14">IFERROR(SUMPRODUCT(($T$22:$T$33=T22)*(($K$22:$K$33/$G$22:$G$33-1)/48))/COUNTIF($T$22:$T$33,T22),0)</f>
        <v>2.0414224406140641E-3</v>
      </c>
      <c r="AD22" s="133">
        <f t="shared" ref="AD22:AD33" si="15">IFERROR(SUMPRODUCT(($T$22:$T$33=T22)*(($K$22:$K$33/$J$22:$J$33-1)/12))/COUNTIF($T$22:$T$33,T22),0)</f>
        <v>1.9010412887099843E-3</v>
      </c>
      <c r="AE22" s="133">
        <f t="shared" ref="AE22:AE33" si="16">IFERROR(IF(SUMPRODUCT(($T$22:$T$33=T22)*(ROW($T$22:$T$33)-ROW($T$22)+1&gt;9))&gt;0,SUMPRODUCT(($T$22:$T$33=T22)*(ROW($T$22:$T$33)-ROW($T$22)+1&gt;9)*(($K$22:$K$33/$J$22:$J$33-1)/12))/SUMPRODUCT(($T$22:$T$33=T22)*(ROW($T$22:$T$33)-ROW($T$22)+1&gt;9)),AD22),AD22)</f>
        <v>1.7227905655015641E-3</v>
      </c>
      <c r="AF22" s="134">
        <f t="shared" ref="AF22:AF33" si="17">MIN($J$9,$B$14+($J$9-$B$14)*MIN(1,IFERROR(ABS(AC22-AD22)/$J$8,1)))</f>
        <v>0.70210571727856119</v>
      </c>
      <c r="AG22" s="135">
        <f>Données!G6</f>
        <v>0</v>
      </c>
      <c r="AH22" s="136">
        <f>Données!H6</f>
        <v>0</v>
      </c>
      <c r="AI22" s="107"/>
      <c r="AJ22" s="154" t="str">
        <f t="shared" ref="AJ22:AJ33" si="18">IF(AI22="","",(AI22-W22)/W22)</f>
        <v/>
      </c>
      <c r="AK22" s="155" t="str">
        <f t="shared" ref="AK22:AK33" si="19">IF(AI22="","",(AI22-AA22)/AA22)</f>
        <v/>
      </c>
      <c r="AL22" s="156"/>
      <c r="AM22" s="157"/>
      <c r="AN22" s="107"/>
      <c r="AO22" s="158" t="str">
        <f t="shared" ref="AO22:AO33" si="20">IF(AN22="","",(AN22-W22)/W22)</f>
        <v/>
      </c>
    </row>
    <row r="23" spans="1:41" ht="16.95" customHeight="1" x14ac:dyDescent="0.3">
      <c r="A23" s="110" t="s">
        <v>148</v>
      </c>
      <c r="B23" s="137">
        <f>Données!B7</f>
        <v>79</v>
      </c>
      <c r="C23" s="137">
        <f>Données!C7</f>
        <v>81</v>
      </c>
      <c r="D23" s="137">
        <f>Données!D7</f>
        <v>83</v>
      </c>
      <c r="E23" s="137">
        <f>Données!E7</f>
        <v>85</v>
      </c>
      <c r="F23" s="137">
        <f>Données!F7</f>
        <v>87</v>
      </c>
      <c r="G23" s="137">
        <f>IF(ABS(B23-TREND($B23:$F23,{1,2,3,4,5},1))/ABS(TREND($B23:$F23,{1,2,3,4,5},1))&gt;$B$5,TREND($B23:$F23,{1,2,3,4,5},1),B23)</f>
        <v>79</v>
      </c>
      <c r="H23" s="137">
        <f>IF(ABS(C23-TREND($B23:$F23,{1,2,3,4,5},2))/ABS(TREND($B23:$F23,{1,2,3,4,5},2))&gt;$B$5,TREND($B23:$F23,{1,2,3,4,5},2),C23)</f>
        <v>81</v>
      </c>
      <c r="I23" s="137">
        <f>IF(ABS(D23-TREND($B23:$F23,{1,2,3,4,5},3))/ABS(TREND($B23:$F23,{1,2,3,4,5},3))&gt;$B$5,TREND($B23:$F23,{1,2,3,4,5},3),D23)</f>
        <v>83</v>
      </c>
      <c r="J23" s="137">
        <f>IF(ABS(E23-TREND($B23:$F23,{1,2,3,4,5},4))/ABS(TREND($B23:$F23,{1,2,3,4,5},4))&gt;$B$5,TREND($B23:$F23,{1,2,3,4,5},4),E23)</f>
        <v>85</v>
      </c>
      <c r="K23" s="137">
        <f>IF(ABS(F23-TREND($B23:$F23,{1,2,3,4,5},5))/ABS(TREND($B23:$F23,{1,2,3,4,5},5))&gt;$B$5,TREND($B23:$F23,{1,2,3,4,5},5),F23)</f>
        <v>87</v>
      </c>
      <c r="L23" s="138" t="str">
        <f>IF(AND(ABS(B23-TREND($B23:$F23,{1,2,3,4,5},1))/ABS(TREND($B23:$F23,{1,2,3,4,5},1))&gt;$B$5&lt;=$B$5,ABS(C23-TREND($B23:$F23,{1,2,3,4,5},2))/ABS(TREND($B23:$F23,{1,2,3,4,5},2))&gt;$B$5&lt;=$B$5,ABS(D23-TREND($B23:$F23,{1,2,3,4,5},3))/ABS(TREND($B23:$F23,{1,2,3,4,5},3))&gt;$B$5&lt;=$B$5,ABS(E23-TREND($B23:$F23,{1,2,3,4,5},4))/ABS(TREND($B23:$F23,{1,2,3,4,5},4))&gt;$B$5&lt;=$B$5,ABS(F23-TREND($B23:$F23,{1,2,3,4,5},5))/ABS(TREND($B23:$F23,{1,2,3,4,5},5))&gt;$B$5&lt;=$B$5),"✓",TRIM(IF(ABS(B23-TREND($B23:$F23,{1,2,3,4,5},1))/ABS(TREND($B23:$F23,{1,2,3,4,5},1))&gt;$B$5,"⚠Y-5 ","")&amp;IF(ABS(C23-TREND($B23:$F23,{1,2,3,4,5},2))/ABS(TREND($B23:$F23,{1,2,3,4,5},2))&gt;$B$5,"⚠Y-4 ","")&amp;IF(ABS(D23-TREND($B23:$F23,{1,2,3,4,5},3))/ABS(TREND($B23:$F23,{1,2,3,4,5},3))&gt;$B$5,"⚠Y-3 ","")&amp;IF(ABS(E23-TREND($B23:$F23,{1,2,3,4,5},4))/ABS(TREND($B23:$F23,{1,2,3,4,5},4))&gt;$B$5,"⚠Y-2 ","")&amp;IF(ABS(F23-TREND($B23:$F23,{1,2,3,4,5},5))/ABS(TREND($B23:$F23,{1,2,3,4,5},5))&gt;$B$5,"⚠Y-1 ","")))</f>
        <v/>
      </c>
      <c r="M23" s="139">
        <f t="shared" si="0"/>
        <v>0.93032384690873404</v>
      </c>
      <c r="N23" s="139">
        <f t="shared" si="1"/>
        <v>0.93192713326941512</v>
      </c>
      <c r="O23" s="139">
        <f t="shared" si="2"/>
        <v>0.9334582942830365</v>
      </c>
      <c r="P23" s="139">
        <f t="shared" si="3"/>
        <v>0.92584188072978124</v>
      </c>
      <c r="Q23" s="139">
        <f t="shared" si="4"/>
        <v>0.93464637421665175</v>
      </c>
      <c r="R23" s="123">
        <f t="shared" si="5"/>
        <v>0.93221921306911582</v>
      </c>
      <c r="S23" s="124" t="str">
        <f t="shared" si="6"/>
        <v>NS</v>
      </c>
      <c r="T23" s="125" t="str">
        <f t="shared" si="7"/>
        <v>NS</v>
      </c>
      <c r="U23" s="153" t="str">
        <f t="shared" si="8"/>
        <v>H1</v>
      </c>
      <c r="V23" s="126">
        <f t="shared" si="9"/>
        <v>2.0414224406140641E-3</v>
      </c>
      <c r="W23" s="127">
        <f t="shared" si="10"/>
        <v>95.895364127566779</v>
      </c>
      <c r="X23" s="140">
        <v>98.3</v>
      </c>
      <c r="Y23" s="141">
        <v>97.8</v>
      </c>
      <c r="Z23" s="142">
        <f t="shared" si="11"/>
        <v>-1.904635872433218</v>
      </c>
      <c r="AA23" s="131">
        <f t="shared" si="12"/>
        <v>97.968042523033333</v>
      </c>
      <c r="AB23" s="143" t="str">
        <f t="shared" si="13"/>
        <v/>
      </c>
      <c r="AC23" s="133">
        <f t="shared" si="14"/>
        <v>2.0414224406140641E-3</v>
      </c>
      <c r="AD23" s="133">
        <f t="shared" si="15"/>
        <v>1.9010412887099843E-3</v>
      </c>
      <c r="AE23" s="133">
        <f t="shared" si="16"/>
        <v>1.7227905655015641E-3</v>
      </c>
      <c r="AF23" s="134">
        <f t="shared" si="17"/>
        <v>0.70210571727856119</v>
      </c>
      <c r="AG23" s="144">
        <f>Données!G7</f>
        <v>1</v>
      </c>
      <c r="AH23" s="145">
        <f>Données!H7</f>
        <v>0.1</v>
      </c>
      <c r="AI23" s="107"/>
      <c r="AJ23" s="159" t="str">
        <f t="shared" si="18"/>
        <v/>
      </c>
      <c r="AK23" s="160" t="str">
        <f t="shared" si="19"/>
        <v/>
      </c>
      <c r="AL23" s="161"/>
      <c r="AM23" s="162"/>
      <c r="AN23" s="107"/>
      <c r="AO23" s="163" t="str">
        <f t="shared" si="20"/>
        <v/>
      </c>
    </row>
    <row r="24" spans="1:41" ht="16.95" customHeight="1" x14ac:dyDescent="0.3">
      <c r="A24" s="106" t="s">
        <v>149</v>
      </c>
      <c r="B24" s="120">
        <f>Données!B8</f>
        <v>82</v>
      </c>
      <c r="C24" s="120">
        <f>Données!C8</f>
        <v>84</v>
      </c>
      <c r="D24" s="120">
        <f>Données!D8</f>
        <v>86</v>
      </c>
      <c r="E24" s="120">
        <f>Données!E8</f>
        <v>88</v>
      </c>
      <c r="F24" s="120">
        <f>Données!F8</f>
        <v>90</v>
      </c>
      <c r="G24" s="120">
        <f>IF(ABS(B24-TREND($B24:$F24,{1,2,3,4,5},1))/ABS(TREND($B24:$F24,{1,2,3,4,5},1))&gt;$B$5,TREND($B24:$F24,{1,2,3,4,5},1),B24)</f>
        <v>82</v>
      </c>
      <c r="H24" s="120">
        <f>IF(ABS(C24-TREND($B24:$F24,{1,2,3,4,5},2))/ABS(TREND($B24:$F24,{1,2,3,4,5},2))&gt;$B$5,TREND($B24:$F24,{1,2,3,4,5},2),C24)</f>
        <v>84</v>
      </c>
      <c r="I24" s="120">
        <f>IF(ABS(D24-TREND($B24:$F24,{1,2,3,4,5},3))/ABS(TREND($B24:$F24,{1,2,3,4,5},3))&gt;$B$5,TREND($B24:$F24,{1,2,3,4,5},3),D24)</f>
        <v>86</v>
      </c>
      <c r="J24" s="120">
        <f>IF(ABS(E24-TREND($B24:$F24,{1,2,3,4,5},4))/ABS(TREND($B24:$F24,{1,2,3,4,5},4))&gt;$B$5,TREND($B24:$F24,{1,2,3,4,5},4),E24)</f>
        <v>88</v>
      </c>
      <c r="K24" s="120">
        <f>IF(ABS(F24-TREND($B24:$F24,{1,2,3,4,5},5))/ABS(TREND($B24:$F24,{1,2,3,4,5},5))&gt;$B$5,TREND($B24:$F24,{1,2,3,4,5},5),F24)</f>
        <v>90</v>
      </c>
      <c r="L24" s="121" t="str">
        <f>IF(AND(ABS(B24-TREND($B24:$F24,{1,2,3,4,5},1))/ABS(TREND($B24:$F24,{1,2,3,4,5},1))&gt;$B$5&lt;=$B$5,ABS(C24-TREND($B24:$F24,{1,2,3,4,5},2))/ABS(TREND($B24:$F24,{1,2,3,4,5},2))&gt;$B$5&lt;=$B$5,ABS(D24-TREND($B24:$F24,{1,2,3,4,5},3))/ABS(TREND($B24:$F24,{1,2,3,4,5},3))&gt;$B$5&lt;=$B$5,ABS(E24-TREND($B24:$F24,{1,2,3,4,5},4))/ABS(TREND($B24:$F24,{1,2,3,4,5},4))&gt;$B$5&lt;=$B$5,ABS(F24-TREND($B24:$F24,{1,2,3,4,5},5))/ABS(TREND($B24:$F24,{1,2,3,4,5},5))&gt;$B$5&lt;=$B$5),"✓",TRIM(IF(ABS(B24-TREND($B24:$F24,{1,2,3,4,5},1))/ABS(TREND($B24:$F24,{1,2,3,4,5},1))&gt;$B$5,"⚠Y-5 ","")&amp;IF(ABS(C24-TREND($B24:$F24,{1,2,3,4,5},2))/ABS(TREND($B24:$F24,{1,2,3,4,5},2))&gt;$B$5,"⚠Y-4 ","")&amp;IF(ABS(D24-TREND($B24:$F24,{1,2,3,4,5},3))/ABS(TREND($B24:$F24,{1,2,3,4,5},3))&gt;$B$5,"⚠Y-3 ","")&amp;IF(ABS(E24-TREND($B24:$F24,{1,2,3,4,5},4))/ABS(TREND($B24:$F24,{1,2,3,4,5},4))&gt;$B$5,"⚠Y-2 ","")&amp;IF(ABS(F24-TREND($B24:$F24,{1,2,3,4,5},5))/ABS(TREND($B24:$F24,{1,2,3,4,5},5))&gt;$B$5,"⚠Y-1 ","")))</f>
        <v/>
      </c>
      <c r="M24" s="122">
        <f t="shared" si="0"/>
        <v>0.96565260058881253</v>
      </c>
      <c r="N24" s="122">
        <f t="shared" si="1"/>
        <v>0.96644295302013417</v>
      </c>
      <c r="O24" s="122">
        <f t="shared" si="2"/>
        <v>0.96719775070290526</v>
      </c>
      <c r="P24" s="122">
        <f t="shared" si="3"/>
        <v>0.95851865299083228</v>
      </c>
      <c r="Q24" s="122">
        <f t="shared" si="4"/>
        <v>0.96687555953446735</v>
      </c>
      <c r="R24" s="123">
        <f t="shared" si="5"/>
        <v>0.96514809830228998</v>
      </c>
      <c r="S24" s="124" t="str">
        <f t="shared" si="6"/>
        <v>NS</v>
      </c>
      <c r="T24" s="125" t="str">
        <f t="shared" si="7"/>
        <v>NS</v>
      </c>
      <c r="U24" s="153" t="str">
        <f t="shared" si="8"/>
        <v>H1</v>
      </c>
      <c r="V24" s="126">
        <f t="shared" si="9"/>
        <v>2.0414224406140641E-3</v>
      </c>
      <c r="W24" s="127">
        <f t="shared" si="10"/>
        <v>99.202100821620803</v>
      </c>
      <c r="X24" s="128">
        <v>101.7</v>
      </c>
      <c r="Y24" s="129">
        <v>101.2</v>
      </c>
      <c r="Z24" s="130">
        <f t="shared" si="11"/>
        <v>-1.9978991783791997</v>
      </c>
      <c r="AA24" s="131">
        <f t="shared" si="12"/>
        <v>101.26569767441862</v>
      </c>
      <c r="AB24" s="132" t="str">
        <f t="shared" si="13"/>
        <v/>
      </c>
      <c r="AC24" s="133">
        <f t="shared" si="14"/>
        <v>2.0414224406140641E-3</v>
      </c>
      <c r="AD24" s="133">
        <f t="shared" si="15"/>
        <v>1.9010412887099843E-3</v>
      </c>
      <c r="AE24" s="133">
        <f t="shared" si="16"/>
        <v>1.7227905655015641E-3</v>
      </c>
      <c r="AF24" s="134">
        <f t="shared" si="17"/>
        <v>0.70210571727856119</v>
      </c>
      <c r="AG24" s="135">
        <f>Données!G8</f>
        <v>1</v>
      </c>
      <c r="AH24" s="136">
        <f>Données!H8</f>
        <v>0.1</v>
      </c>
      <c r="AI24" s="107"/>
      <c r="AJ24" s="154" t="str">
        <f t="shared" si="18"/>
        <v/>
      </c>
      <c r="AK24" s="155" t="str">
        <f t="shared" si="19"/>
        <v/>
      </c>
      <c r="AL24" s="156"/>
      <c r="AM24" s="157"/>
      <c r="AN24" s="107"/>
      <c r="AO24" s="158" t="str">
        <f t="shared" si="20"/>
        <v/>
      </c>
    </row>
    <row r="25" spans="1:41" ht="16.95" customHeight="1" x14ac:dyDescent="0.3">
      <c r="A25" s="110" t="s">
        <v>150</v>
      </c>
      <c r="B25" s="137">
        <f>Données!B9</f>
        <v>80</v>
      </c>
      <c r="C25" s="137">
        <f>Données!C9</f>
        <v>82</v>
      </c>
      <c r="D25" s="137">
        <f>Données!D9</f>
        <v>84</v>
      </c>
      <c r="E25" s="137">
        <f>Données!E9</f>
        <v>86</v>
      </c>
      <c r="F25" s="137">
        <f>Données!F9</f>
        <v>88</v>
      </c>
      <c r="G25" s="137">
        <f>IF(ABS(B25-TREND($B25:$F25,{1,2,3,4,5},1))/ABS(TREND($B25:$F25,{1,2,3,4,5},1))&gt;$B$5,TREND($B25:$F25,{1,2,3,4,5},1),B25)</f>
        <v>80</v>
      </c>
      <c r="H25" s="137">
        <f>IF(ABS(C25-TREND($B25:$F25,{1,2,3,4,5},2))/ABS(TREND($B25:$F25,{1,2,3,4,5},2))&gt;$B$5,TREND($B25:$F25,{1,2,3,4,5},2),C25)</f>
        <v>82</v>
      </c>
      <c r="I25" s="137">
        <f>IF(ABS(D25-TREND($B25:$F25,{1,2,3,4,5},3))/ABS(TREND($B25:$F25,{1,2,3,4,5},3))&gt;$B$5,TREND($B25:$F25,{1,2,3,4,5},3),D25)</f>
        <v>84</v>
      </c>
      <c r="J25" s="137">
        <f>IF(ABS(E25-TREND($B25:$F25,{1,2,3,4,5},4))/ABS(TREND($B25:$F25,{1,2,3,4,5},4))&gt;$B$5,TREND($B25:$F25,{1,2,3,4,5},4),E25)</f>
        <v>86</v>
      </c>
      <c r="K25" s="137">
        <f>IF(ABS(F25-TREND($B25:$F25,{1,2,3,4,5},5))/ABS(TREND($B25:$F25,{1,2,3,4,5},5))&gt;$B$5,TREND($B25:$F25,{1,2,3,4,5},5),F25)</f>
        <v>88</v>
      </c>
      <c r="L25" s="138" t="str">
        <f>IF(AND(ABS(B25-TREND($B25:$F25,{1,2,3,4,5},1))/ABS(TREND($B25:$F25,{1,2,3,4,5},1))&gt;$B$5&lt;=$B$5,ABS(C25-TREND($B25:$F25,{1,2,3,4,5},2))/ABS(TREND($B25:$F25,{1,2,3,4,5},2))&gt;$B$5&lt;=$B$5,ABS(D25-TREND($B25:$F25,{1,2,3,4,5},3))/ABS(TREND($B25:$F25,{1,2,3,4,5},3))&gt;$B$5&lt;=$B$5,ABS(E25-TREND($B25:$F25,{1,2,3,4,5},4))/ABS(TREND($B25:$F25,{1,2,3,4,5},4))&gt;$B$5&lt;=$B$5,ABS(F25-TREND($B25:$F25,{1,2,3,4,5},5))/ABS(TREND($B25:$F25,{1,2,3,4,5},5))&gt;$B$5&lt;=$B$5),"✓",TRIM(IF(ABS(B25-TREND($B25:$F25,{1,2,3,4,5},1))/ABS(TREND($B25:$F25,{1,2,3,4,5},1))&gt;$B$5,"⚠Y-5 ","")&amp;IF(ABS(C25-TREND($B25:$F25,{1,2,3,4,5},2))/ABS(TREND($B25:$F25,{1,2,3,4,5},2))&gt;$B$5,"⚠Y-4 ","")&amp;IF(ABS(D25-TREND($B25:$F25,{1,2,3,4,5},3))/ABS(TREND($B25:$F25,{1,2,3,4,5},3))&gt;$B$5,"⚠Y-3 ","")&amp;IF(ABS(E25-TREND($B25:$F25,{1,2,3,4,5},4))/ABS(TREND($B25:$F25,{1,2,3,4,5},4))&gt;$B$5,"⚠Y-2 ","")&amp;IF(ABS(F25-TREND($B25:$F25,{1,2,3,4,5},5))/ABS(TREND($B25:$F25,{1,2,3,4,5},5))&gt;$B$5,"⚠Y-1 ","")))</f>
        <v/>
      </c>
      <c r="M25" s="139">
        <f t="shared" si="0"/>
        <v>0.94210009813542683</v>
      </c>
      <c r="N25" s="139">
        <f t="shared" si="1"/>
        <v>0.94343240651965476</v>
      </c>
      <c r="O25" s="139">
        <f t="shared" si="2"/>
        <v>0.94470477975632605</v>
      </c>
      <c r="P25" s="139">
        <f t="shared" si="3"/>
        <v>0.93673413815013162</v>
      </c>
      <c r="Q25" s="139">
        <f t="shared" si="4"/>
        <v>0.94538943598925695</v>
      </c>
      <c r="R25" s="123">
        <f t="shared" si="5"/>
        <v>0.9431955081468405</v>
      </c>
      <c r="S25" s="124" t="str">
        <f t="shared" si="6"/>
        <v>NS</v>
      </c>
      <c r="T25" s="125" t="str">
        <f t="shared" si="7"/>
        <v>NS</v>
      </c>
      <c r="U25" s="153" t="str">
        <f t="shared" si="8"/>
        <v>H1</v>
      </c>
      <c r="V25" s="126">
        <f t="shared" si="9"/>
        <v>2.0414224406140641E-3</v>
      </c>
      <c r="W25" s="127">
        <f t="shared" si="10"/>
        <v>88.179645174774038</v>
      </c>
      <c r="X25" s="140">
        <v>90.4</v>
      </c>
      <c r="Y25" s="141">
        <v>90</v>
      </c>
      <c r="Z25" s="142">
        <f t="shared" si="11"/>
        <v>-1.8203548252259623</v>
      </c>
      <c r="AA25" s="131">
        <f t="shared" si="12"/>
        <v>90.061129568106324</v>
      </c>
      <c r="AB25" s="143" t="str">
        <f t="shared" si="13"/>
        <v/>
      </c>
      <c r="AC25" s="133">
        <f t="shared" si="14"/>
        <v>2.0414224406140641E-3</v>
      </c>
      <c r="AD25" s="133">
        <f t="shared" si="15"/>
        <v>1.9010412887099843E-3</v>
      </c>
      <c r="AE25" s="133">
        <f t="shared" si="16"/>
        <v>1.7227905655015641E-3</v>
      </c>
      <c r="AF25" s="134">
        <f t="shared" si="17"/>
        <v>0.70210571727856119</v>
      </c>
      <c r="AG25" s="144">
        <f>Données!G9</f>
        <v>0</v>
      </c>
      <c r="AH25" s="145">
        <f>Données!H9</f>
        <v>0</v>
      </c>
      <c r="AI25" s="107"/>
      <c r="AJ25" s="159" t="str">
        <f t="shared" si="18"/>
        <v/>
      </c>
      <c r="AK25" s="160" t="str">
        <f t="shared" si="19"/>
        <v/>
      </c>
      <c r="AL25" s="161" t="str">
        <f t="shared" ref="AL25:AL33" si="21">IF(OR(AJ22="",AJ23="",AJ24=""),"",IF(AND(SIGN(AJ22)=SIGN(AJ23),SIGN(AJ23)=SIGN(AJ24),ABS(AJ22)&gt;$B$16,ABS(AJ23)&gt;$B$16,ABS(AJ24)&gt;$B$16),"⚠ Ajuster ce mois de "&amp;TEXT(AVERAGE(AJ22:AJ24),"+0.0%;-0.0%")&amp;" (biais 3 mois précédents)",""))</f>
        <v/>
      </c>
      <c r="AM25" s="162" t="str">
        <f t="shared" ref="AM25:AM33" si="22">IF(OR(AK22="",AK23="",AK24=""),"",IF(AND(SIGN(AK22)=SIGN(AK23),SIGN(AK23)=SIGN(AK24),ABS(AK22)&gt;$B$16,ABS(AK23)&gt;$B$16,ABS(AK24)&gt;$B$16),"⚠ Ajuster ce mois de "&amp;TEXT(AVERAGE(AK22:AK24),"+0.0%;-0.0%")&amp;" (biais 3 mois précédents)",""))</f>
        <v/>
      </c>
      <c r="AN25" s="107"/>
      <c r="AO25" s="163" t="str">
        <f t="shared" si="20"/>
        <v/>
      </c>
    </row>
    <row r="26" spans="1:41" ht="16.95" customHeight="1" x14ac:dyDescent="0.3">
      <c r="A26" s="106" t="s">
        <v>151</v>
      </c>
      <c r="B26" s="120">
        <f>Données!B10</f>
        <v>78</v>
      </c>
      <c r="C26" s="120">
        <f>Données!C10</f>
        <v>80</v>
      </c>
      <c r="D26" s="120">
        <f>Données!D10</f>
        <v>82</v>
      </c>
      <c r="E26" s="120">
        <f>Données!E10</f>
        <v>84</v>
      </c>
      <c r="F26" s="120">
        <f>Données!F10</f>
        <v>86</v>
      </c>
      <c r="G26" s="120">
        <f>IF(ABS(B26-TREND($B26:$F26,{1,2,3,4,5},1))/ABS(TREND($B26:$F26,{1,2,3,4,5},1))&gt;$B$5,TREND($B26:$F26,{1,2,3,4,5},1),B26)</f>
        <v>78</v>
      </c>
      <c r="H26" s="120">
        <f>IF(ABS(C26-TREND($B26:$F26,{1,2,3,4,5},2))/ABS(TREND($B26:$F26,{1,2,3,4,5},2))&gt;$B$5,TREND($B26:$F26,{1,2,3,4,5},2),C26)</f>
        <v>80</v>
      </c>
      <c r="I26" s="120">
        <f>IF(ABS(D26-TREND($B26:$F26,{1,2,3,4,5},3))/ABS(TREND($B26:$F26,{1,2,3,4,5},3))&gt;$B$5,TREND($B26:$F26,{1,2,3,4,5},3),D26)</f>
        <v>82</v>
      </c>
      <c r="J26" s="120">
        <f>IF(ABS(E26-TREND($B26:$F26,{1,2,3,4,5},4))/ABS(TREND($B26:$F26,{1,2,3,4,5},4))&gt;$B$5,TREND($B26:$F26,{1,2,3,4,5},4),E26)</f>
        <v>84</v>
      </c>
      <c r="K26" s="120">
        <f>IF(ABS(F26-TREND($B26:$F26,{1,2,3,4,5},5))/ABS(TREND($B26:$F26,{1,2,3,4,5},5))&gt;$B$5,TREND($B26:$F26,{1,2,3,4,5},5),F26)</f>
        <v>86</v>
      </c>
      <c r="L26" s="121" t="str">
        <f>IF(AND(ABS(B26-TREND($B26:$F26,{1,2,3,4,5},1))/ABS(TREND($B26:$F26,{1,2,3,4,5},1))&gt;$B$5&lt;=$B$5,ABS(C26-TREND($B26:$F26,{1,2,3,4,5},2))/ABS(TREND($B26:$F26,{1,2,3,4,5},2))&gt;$B$5&lt;=$B$5,ABS(D26-TREND($B26:$F26,{1,2,3,4,5},3))/ABS(TREND($B26:$F26,{1,2,3,4,5},3))&gt;$B$5&lt;=$B$5,ABS(E26-TREND($B26:$F26,{1,2,3,4,5},4))/ABS(TREND($B26:$F26,{1,2,3,4,5},4))&gt;$B$5&lt;=$B$5,ABS(F26-TREND($B26:$F26,{1,2,3,4,5},5))/ABS(TREND($B26:$F26,{1,2,3,4,5},5))&gt;$B$5&lt;=$B$5),"✓",TRIM(IF(ABS(B26-TREND($B26:$F26,{1,2,3,4,5},1))/ABS(TREND($B26:$F26,{1,2,3,4,5},1))&gt;$B$5,"⚠Y-5 ","")&amp;IF(ABS(C26-TREND($B26:$F26,{1,2,3,4,5},2))/ABS(TREND($B26:$F26,{1,2,3,4,5},2))&gt;$B$5,"⚠Y-4 ","")&amp;IF(ABS(D26-TREND($B26:$F26,{1,2,3,4,5},3))/ABS(TREND($B26:$F26,{1,2,3,4,5},3))&gt;$B$5,"⚠Y-3 ","")&amp;IF(ABS(E26-TREND($B26:$F26,{1,2,3,4,5},4))/ABS(TREND($B26:$F26,{1,2,3,4,5},4))&gt;$B$5,"⚠Y-2 ","")&amp;IF(ABS(F26-TREND($B26:$F26,{1,2,3,4,5},5))/ABS(TREND($B26:$F26,{1,2,3,4,5},5))&gt;$B$5,"⚠Y-1 ","")))</f>
        <v/>
      </c>
      <c r="M26" s="122">
        <f t="shared" si="0"/>
        <v>0.91854759568204114</v>
      </c>
      <c r="N26" s="122">
        <f t="shared" si="1"/>
        <v>0.92042186001917536</v>
      </c>
      <c r="O26" s="122">
        <f t="shared" si="2"/>
        <v>0.92221180880974696</v>
      </c>
      <c r="P26" s="122">
        <f t="shared" si="3"/>
        <v>0.91494962330943086</v>
      </c>
      <c r="Q26" s="122">
        <f t="shared" si="4"/>
        <v>0.92390331244404655</v>
      </c>
      <c r="R26" s="123">
        <f t="shared" si="5"/>
        <v>0.92124291799139102</v>
      </c>
      <c r="S26" s="124" t="str">
        <f t="shared" si="6"/>
        <v>NS</v>
      </c>
      <c r="T26" s="125" t="str">
        <f t="shared" si="7"/>
        <v>NS</v>
      </c>
      <c r="U26" s="153" t="str">
        <f t="shared" si="8"/>
        <v>H1</v>
      </c>
      <c r="V26" s="126">
        <f t="shared" si="9"/>
        <v>2.0414224406140641E-3</v>
      </c>
      <c r="W26" s="127">
        <f t="shared" si="10"/>
        <v>86.175562329892799</v>
      </c>
      <c r="X26" s="128">
        <v>88.4</v>
      </c>
      <c r="Y26" s="129">
        <v>87.9</v>
      </c>
      <c r="Z26" s="130">
        <f t="shared" si="11"/>
        <v>-1.7244376701072071</v>
      </c>
      <c r="AA26" s="131">
        <f t="shared" si="12"/>
        <v>88.06260162601626</v>
      </c>
      <c r="AB26" s="132" t="str">
        <f t="shared" si="13"/>
        <v/>
      </c>
      <c r="AC26" s="133">
        <f t="shared" si="14"/>
        <v>2.0414224406140641E-3</v>
      </c>
      <c r="AD26" s="133">
        <f t="shared" si="15"/>
        <v>1.9010412887099843E-3</v>
      </c>
      <c r="AE26" s="133">
        <f t="shared" si="16"/>
        <v>1.7227905655015641E-3</v>
      </c>
      <c r="AF26" s="134">
        <f t="shared" si="17"/>
        <v>0.70210571727856119</v>
      </c>
      <c r="AG26" s="135">
        <f>Données!G10</f>
        <v>0</v>
      </c>
      <c r="AH26" s="136">
        <f>Données!H10</f>
        <v>0</v>
      </c>
      <c r="AI26" s="107"/>
      <c r="AJ26" s="154" t="str">
        <f t="shared" si="18"/>
        <v/>
      </c>
      <c r="AK26" s="155" t="str">
        <f t="shared" si="19"/>
        <v/>
      </c>
      <c r="AL26" s="156" t="str">
        <f t="shared" si="21"/>
        <v/>
      </c>
      <c r="AM26" s="157" t="str">
        <f t="shared" si="22"/>
        <v/>
      </c>
      <c r="AN26" s="107"/>
      <c r="AO26" s="158" t="str">
        <f t="shared" si="20"/>
        <v/>
      </c>
    </row>
    <row r="27" spans="1:41" ht="16.95" customHeight="1" x14ac:dyDescent="0.3">
      <c r="A27" s="110" t="s">
        <v>152</v>
      </c>
      <c r="B27" s="137">
        <f>Données!B11</f>
        <v>75</v>
      </c>
      <c r="C27" s="137">
        <f>Données!C11</f>
        <v>77</v>
      </c>
      <c r="D27" s="137">
        <f>Données!D11</f>
        <v>79</v>
      </c>
      <c r="E27" s="137">
        <f>Données!E11</f>
        <v>81</v>
      </c>
      <c r="F27" s="137">
        <f>Données!F11</f>
        <v>83</v>
      </c>
      <c r="G27" s="137">
        <f>IF(ABS(B27-TREND($B27:$F27,{1,2,3,4,5},1))/ABS(TREND($B27:$F27,{1,2,3,4,5},1))&gt;$B$5,TREND($B27:$F27,{1,2,3,4,5},1),B27)</f>
        <v>75</v>
      </c>
      <c r="H27" s="137">
        <f>IF(ABS(C27-TREND($B27:$F27,{1,2,3,4,5},2))/ABS(TREND($B27:$F27,{1,2,3,4,5},2))&gt;$B$5,TREND($B27:$F27,{1,2,3,4,5},2),C27)</f>
        <v>77</v>
      </c>
      <c r="I27" s="137">
        <f>IF(ABS(D27-TREND($B27:$F27,{1,2,3,4,5},3))/ABS(TREND($B27:$F27,{1,2,3,4,5},3))&gt;$B$5,TREND($B27:$F27,{1,2,3,4,5},3),D27)</f>
        <v>79</v>
      </c>
      <c r="J27" s="137">
        <f>IF(ABS(E27-TREND($B27:$F27,{1,2,3,4,5},4))/ABS(TREND($B27:$F27,{1,2,3,4,5},4))&gt;$B$5,TREND($B27:$F27,{1,2,3,4,5},4),E27)</f>
        <v>81</v>
      </c>
      <c r="K27" s="137">
        <f>IF(ABS(F27-TREND($B27:$F27,{1,2,3,4,5},5))/ABS(TREND($B27:$F27,{1,2,3,4,5},5))&gt;$B$5,TREND($B27:$F27,{1,2,3,4,5},5),F27)</f>
        <v>83</v>
      </c>
      <c r="L27" s="138" t="str">
        <f>IF(AND(ABS(B27-TREND($B27:$F27,{1,2,3,4,5},1))/ABS(TREND($B27:$F27,{1,2,3,4,5},1))&gt;$B$5&lt;=$B$5,ABS(C27-TREND($B27:$F27,{1,2,3,4,5},2))/ABS(TREND($B27:$F27,{1,2,3,4,5},2))&gt;$B$5&lt;=$B$5,ABS(D27-TREND($B27:$F27,{1,2,3,4,5},3))/ABS(TREND($B27:$F27,{1,2,3,4,5},3))&gt;$B$5&lt;=$B$5,ABS(E27-TREND($B27:$F27,{1,2,3,4,5},4))/ABS(TREND($B27:$F27,{1,2,3,4,5},4))&gt;$B$5&lt;=$B$5,ABS(F27-TREND($B27:$F27,{1,2,3,4,5},5))/ABS(TREND($B27:$F27,{1,2,3,4,5},5))&gt;$B$5&lt;=$B$5),"✓",TRIM(IF(ABS(B27-TREND($B27:$F27,{1,2,3,4,5},1))/ABS(TREND($B27:$F27,{1,2,3,4,5},1))&gt;$B$5,"⚠Y-5 ","")&amp;IF(ABS(C27-TREND($B27:$F27,{1,2,3,4,5},2))/ABS(TREND($B27:$F27,{1,2,3,4,5},2))&gt;$B$5,"⚠Y-4 ","")&amp;IF(ABS(D27-TREND($B27:$F27,{1,2,3,4,5},3))/ABS(TREND($B27:$F27,{1,2,3,4,5},3))&gt;$B$5,"⚠Y-3 ","")&amp;IF(ABS(E27-TREND($B27:$F27,{1,2,3,4,5},4))/ABS(TREND($B27:$F27,{1,2,3,4,5},4))&gt;$B$5,"⚠Y-2 ","")&amp;IF(ABS(F27-TREND($B27:$F27,{1,2,3,4,5},5))/ABS(TREND($B27:$F27,{1,2,3,4,5},5))&gt;$B$5,"⚠Y-1 ","")))</f>
        <v/>
      </c>
      <c r="M27" s="139">
        <f t="shared" si="0"/>
        <v>0.88321884200196266</v>
      </c>
      <c r="N27" s="139">
        <f t="shared" si="1"/>
        <v>0.88590604026845632</v>
      </c>
      <c r="O27" s="139">
        <f t="shared" si="2"/>
        <v>0.8884723523898781</v>
      </c>
      <c r="P27" s="139">
        <f t="shared" si="3"/>
        <v>0.88227285104837971</v>
      </c>
      <c r="Q27" s="139">
        <f t="shared" si="4"/>
        <v>0.89167412712623106</v>
      </c>
      <c r="R27" s="123">
        <f t="shared" si="5"/>
        <v>0.88831403275821685</v>
      </c>
      <c r="S27" s="124" t="str">
        <f t="shared" si="6"/>
        <v>NS</v>
      </c>
      <c r="T27" s="125" t="str">
        <f t="shared" si="7"/>
        <v>NS</v>
      </c>
      <c r="U27" s="153" t="str">
        <f t="shared" si="8"/>
        <v>H1</v>
      </c>
      <c r="V27" s="126">
        <f t="shared" si="9"/>
        <v>2.0414224406140641E-3</v>
      </c>
      <c r="W27" s="127">
        <f t="shared" si="10"/>
        <v>83.169438062570961</v>
      </c>
      <c r="X27" s="140">
        <v>85.3</v>
      </c>
      <c r="Y27" s="141">
        <v>84.8</v>
      </c>
      <c r="Z27" s="142">
        <f t="shared" si="11"/>
        <v>-1.6305619374290359</v>
      </c>
      <c r="AA27" s="131">
        <f t="shared" si="12"/>
        <v>85.064947648070017</v>
      </c>
      <c r="AB27" s="143" t="str">
        <f t="shared" si="13"/>
        <v/>
      </c>
      <c r="AC27" s="133">
        <f t="shared" si="14"/>
        <v>2.0414224406140641E-3</v>
      </c>
      <c r="AD27" s="133">
        <f t="shared" si="15"/>
        <v>1.9010412887099843E-3</v>
      </c>
      <c r="AE27" s="133">
        <f t="shared" si="16"/>
        <v>1.7227905655015641E-3</v>
      </c>
      <c r="AF27" s="134">
        <f t="shared" si="17"/>
        <v>0.70210571727856119</v>
      </c>
      <c r="AG27" s="144">
        <f>Données!G11</f>
        <v>0</v>
      </c>
      <c r="AH27" s="145">
        <f>Données!H11</f>
        <v>0</v>
      </c>
      <c r="AI27" s="107"/>
      <c r="AJ27" s="159" t="str">
        <f t="shared" si="18"/>
        <v/>
      </c>
      <c r="AK27" s="160" t="str">
        <f t="shared" si="19"/>
        <v/>
      </c>
      <c r="AL27" s="161" t="str">
        <f t="shared" si="21"/>
        <v/>
      </c>
      <c r="AM27" s="162" t="str">
        <f t="shared" si="22"/>
        <v/>
      </c>
      <c r="AN27" s="107"/>
      <c r="AO27" s="163" t="str">
        <f t="shared" si="20"/>
        <v/>
      </c>
    </row>
    <row r="28" spans="1:41" ht="16.95" customHeight="1" x14ac:dyDescent="0.3">
      <c r="A28" s="106" t="s">
        <v>153</v>
      </c>
      <c r="B28" s="120">
        <f>Données!B12</f>
        <v>76</v>
      </c>
      <c r="C28" s="120">
        <f>Données!C12</f>
        <v>78</v>
      </c>
      <c r="D28" s="120">
        <f>Données!D12</f>
        <v>80</v>
      </c>
      <c r="E28" s="120">
        <f>Données!E12</f>
        <v>82</v>
      </c>
      <c r="F28" s="120">
        <f>Données!F12</f>
        <v>84</v>
      </c>
      <c r="G28" s="120">
        <f>IF(ABS(B28-TREND($B28:$F28,{1,2,3,4,5},1))/ABS(TREND($B28:$F28,{1,2,3,4,5},1))&gt;$B$5,TREND($B28:$F28,{1,2,3,4,5},1),B28)</f>
        <v>76</v>
      </c>
      <c r="H28" s="120">
        <f>IF(ABS(C28-TREND($B28:$F28,{1,2,3,4,5},2))/ABS(TREND($B28:$F28,{1,2,3,4,5},2))&gt;$B$5,TREND($B28:$F28,{1,2,3,4,5},2),C28)</f>
        <v>78</v>
      </c>
      <c r="I28" s="120">
        <f>IF(ABS(D28-TREND($B28:$F28,{1,2,3,4,5},3))/ABS(TREND($B28:$F28,{1,2,3,4,5},3))&gt;$B$5,TREND($B28:$F28,{1,2,3,4,5},3),D28)</f>
        <v>80</v>
      </c>
      <c r="J28" s="120">
        <f>IF(ABS(E28-TREND($B28:$F28,{1,2,3,4,5},4))/ABS(TREND($B28:$F28,{1,2,3,4,5},4))&gt;$B$5,TREND($B28:$F28,{1,2,3,4,5},4),E28)</f>
        <v>82</v>
      </c>
      <c r="K28" s="120">
        <f>IF(ABS(F28-TREND($B28:$F28,{1,2,3,4,5},5))/ABS(TREND($B28:$F28,{1,2,3,4,5},5))&gt;$B$5,TREND($B28:$F28,{1,2,3,4,5},5),F28)</f>
        <v>84</v>
      </c>
      <c r="L28" s="121" t="str">
        <f>IF(AND(ABS(B28-TREND($B28:$F28,{1,2,3,4,5},1))/ABS(TREND($B28:$F28,{1,2,3,4,5},1))&gt;$B$5&lt;=$B$5,ABS(C28-TREND($B28:$F28,{1,2,3,4,5},2))/ABS(TREND($B28:$F28,{1,2,3,4,5},2))&gt;$B$5&lt;=$B$5,ABS(D28-TREND($B28:$F28,{1,2,3,4,5},3))/ABS(TREND($B28:$F28,{1,2,3,4,5},3))&gt;$B$5&lt;=$B$5,ABS(E28-TREND($B28:$F28,{1,2,3,4,5},4))/ABS(TREND($B28:$F28,{1,2,3,4,5},4))&gt;$B$5&lt;=$B$5,ABS(F28-TREND($B28:$F28,{1,2,3,4,5},5))/ABS(TREND($B28:$F28,{1,2,3,4,5},5))&gt;$B$5&lt;=$B$5),"✓",TRIM(IF(ABS(B28-TREND($B28:$F28,{1,2,3,4,5},1))/ABS(TREND($B28:$F28,{1,2,3,4,5},1))&gt;$B$5,"⚠Y-5 ","")&amp;IF(ABS(C28-TREND($B28:$F28,{1,2,3,4,5},2))/ABS(TREND($B28:$F28,{1,2,3,4,5},2))&gt;$B$5,"⚠Y-4 ","")&amp;IF(ABS(D28-TREND($B28:$F28,{1,2,3,4,5},3))/ABS(TREND($B28:$F28,{1,2,3,4,5},3))&gt;$B$5,"⚠Y-3 ","")&amp;IF(ABS(E28-TREND($B28:$F28,{1,2,3,4,5},4))/ABS(TREND($B28:$F28,{1,2,3,4,5},4))&gt;$B$5,"⚠Y-2 ","")&amp;IF(ABS(F28-TREND($B28:$F28,{1,2,3,4,5},5))/ABS(TREND($B28:$F28,{1,2,3,4,5},5))&gt;$B$5,"⚠Y-1 ","")))</f>
        <v/>
      </c>
      <c r="M28" s="122">
        <f t="shared" si="0"/>
        <v>0.89499509322865545</v>
      </c>
      <c r="N28" s="122">
        <f t="shared" si="1"/>
        <v>0.89741131351869607</v>
      </c>
      <c r="O28" s="122">
        <f t="shared" si="2"/>
        <v>0.89971883786316775</v>
      </c>
      <c r="P28" s="122">
        <f t="shared" si="3"/>
        <v>0.8931651084687301</v>
      </c>
      <c r="Q28" s="122">
        <f t="shared" si="4"/>
        <v>0.90241718889883626</v>
      </c>
      <c r="R28" s="123">
        <f t="shared" si="5"/>
        <v>0.89929032783594165</v>
      </c>
      <c r="S28" s="124" t="str">
        <f t="shared" si="6"/>
        <v>NS</v>
      </c>
      <c r="T28" s="125" t="str">
        <f t="shared" si="7"/>
        <v>NS</v>
      </c>
      <c r="U28" s="153" t="str">
        <f t="shared" si="8"/>
        <v>H1</v>
      </c>
      <c r="V28" s="126">
        <f t="shared" si="9"/>
        <v>2.0414224406140641E-3</v>
      </c>
      <c r="W28" s="127">
        <f t="shared" si="10"/>
        <v>84.171479485011574</v>
      </c>
      <c r="X28" s="128">
        <v>86.3</v>
      </c>
      <c r="Y28" s="129">
        <v>85.8</v>
      </c>
      <c r="Z28" s="130">
        <f t="shared" si="11"/>
        <v>-1.6285205149884234</v>
      </c>
      <c r="AA28" s="131">
        <f t="shared" si="12"/>
        <v>86.064146341463427</v>
      </c>
      <c r="AB28" s="132" t="str">
        <f t="shared" si="13"/>
        <v/>
      </c>
      <c r="AC28" s="133">
        <f t="shared" si="14"/>
        <v>2.0414224406140641E-3</v>
      </c>
      <c r="AD28" s="133">
        <f t="shared" si="15"/>
        <v>1.9010412887099843E-3</v>
      </c>
      <c r="AE28" s="133">
        <f t="shared" si="16"/>
        <v>1.7227905655015641E-3</v>
      </c>
      <c r="AF28" s="134">
        <f t="shared" si="17"/>
        <v>0.70210571727856119</v>
      </c>
      <c r="AG28" s="135">
        <f>Données!G12</f>
        <v>0</v>
      </c>
      <c r="AH28" s="136">
        <f>Données!H12</f>
        <v>0</v>
      </c>
      <c r="AI28" s="107"/>
      <c r="AJ28" s="154" t="str">
        <f t="shared" si="18"/>
        <v/>
      </c>
      <c r="AK28" s="155" t="str">
        <f t="shared" si="19"/>
        <v/>
      </c>
      <c r="AL28" s="156" t="str">
        <f t="shared" si="21"/>
        <v/>
      </c>
      <c r="AM28" s="157" t="str">
        <f t="shared" si="22"/>
        <v/>
      </c>
      <c r="AN28" s="107"/>
      <c r="AO28" s="158" t="str">
        <f t="shared" si="20"/>
        <v/>
      </c>
    </row>
    <row r="29" spans="1:41" ht="16.95" customHeight="1" x14ac:dyDescent="0.3">
      <c r="A29" s="110" t="s">
        <v>154</v>
      </c>
      <c r="B29" s="137">
        <f>Données!B13</f>
        <v>83</v>
      </c>
      <c r="C29" s="137">
        <f>Données!C13</f>
        <v>85</v>
      </c>
      <c r="D29" s="137">
        <f>Données!D13</f>
        <v>87</v>
      </c>
      <c r="E29" s="137">
        <f>Données!E13</f>
        <v>89</v>
      </c>
      <c r="F29" s="137">
        <f>Données!F13</f>
        <v>91</v>
      </c>
      <c r="G29" s="137">
        <f>IF(ABS(B29-TREND($B29:$F29,{1,2,3,4,5},1))/ABS(TREND($B29:$F29,{1,2,3,4,5},1))&gt;$B$5,TREND($B29:$F29,{1,2,3,4,5},1),B29)</f>
        <v>83</v>
      </c>
      <c r="H29" s="137">
        <f>IF(ABS(C29-TREND($B29:$F29,{1,2,3,4,5},2))/ABS(TREND($B29:$F29,{1,2,3,4,5},2))&gt;$B$5,TREND($B29:$F29,{1,2,3,4,5},2),C29)</f>
        <v>85</v>
      </c>
      <c r="I29" s="137">
        <f>IF(ABS(D29-TREND($B29:$F29,{1,2,3,4,5},3))/ABS(TREND($B29:$F29,{1,2,3,4,5},3))&gt;$B$5,TREND($B29:$F29,{1,2,3,4,5},3),D29)</f>
        <v>87</v>
      </c>
      <c r="J29" s="137">
        <f>IF(ABS(E29-TREND($B29:$F29,{1,2,3,4,5},4))/ABS(TREND($B29:$F29,{1,2,3,4,5},4))&gt;$B$5,TREND($B29:$F29,{1,2,3,4,5},4),E29)</f>
        <v>89</v>
      </c>
      <c r="K29" s="137">
        <f>IF(ABS(F29-TREND($B29:$F29,{1,2,3,4,5},5))/ABS(TREND($B29:$F29,{1,2,3,4,5},5))&gt;$B$5,TREND($B29:$F29,{1,2,3,4,5},5),F29)</f>
        <v>91</v>
      </c>
      <c r="L29" s="138" t="str">
        <f>IF(AND(ABS(B29-TREND($B29:$F29,{1,2,3,4,5},1))/ABS(TREND($B29:$F29,{1,2,3,4,5},1))&gt;$B$5&lt;=$B$5,ABS(C29-TREND($B29:$F29,{1,2,3,4,5},2))/ABS(TREND($B29:$F29,{1,2,3,4,5},2))&gt;$B$5&lt;=$B$5,ABS(D29-TREND($B29:$F29,{1,2,3,4,5},3))/ABS(TREND($B29:$F29,{1,2,3,4,5},3))&gt;$B$5&lt;=$B$5,ABS(E29-TREND($B29:$F29,{1,2,3,4,5},4))/ABS(TREND($B29:$F29,{1,2,3,4,5},4))&gt;$B$5&lt;=$B$5,ABS(F29-TREND($B29:$F29,{1,2,3,4,5},5))/ABS(TREND($B29:$F29,{1,2,3,4,5},5))&gt;$B$5&lt;=$B$5),"✓",TRIM(IF(ABS(B29-TREND($B29:$F29,{1,2,3,4,5},1))/ABS(TREND($B29:$F29,{1,2,3,4,5},1))&gt;$B$5,"⚠Y-5 ","")&amp;IF(ABS(C29-TREND($B29:$F29,{1,2,3,4,5},2))/ABS(TREND($B29:$F29,{1,2,3,4,5},2))&gt;$B$5,"⚠Y-4 ","")&amp;IF(ABS(D29-TREND($B29:$F29,{1,2,3,4,5},3))/ABS(TREND($B29:$F29,{1,2,3,4,5},3))&gt;$B$5,"⚠Y-3 ","")&amp;IF(ABS(E29-TREND($B29:$F29,{1,2,3,4,5},4))/ABS(TREND($B29:$F29,{1,2,3,4,5},4))&gt;$B$5,"⚠Y-2 ","")&amp;IF(ABS(F29-TREND($B29:$F29,{1,2,3,4,5},5))/ABS(TREND($B29:$F29,{1,2,3,4,5},5))&gt;$B$5,"⚠Y-1 ","")))</f>
        <v/>
      </c>
      <c r="M29" s="139">
        <f t="shared" si="0"/>
        <v>0.97742885181550532</v>
      </c>
      <c r="N29" s="139">
        <f t="shared" si="1"/>
        <v>0.97794822627037392</v>
      </c>
      <c r="O29" s="139">
        <f t="shared" si="2"/>
        <v>0.97844423617619491</v>
      </c>
      <c r="P29" s="139">
        <f t="shared" si="3"/>
        <v>0.96941091041118266</v>
      </c>
      <c r="Q29" s="139">
        <f t="shared" si="4"/>
        <v>0.97761862130707256</v>
      </c>
      <c r="R29" s="123">
        <f t="shared" si="5"/>
        <v>0.97612439338001467</v>
      </c>
      <c r="S29" s="124" t="str">
        <f t="shared" si="6"/>
        <v>NS</v>
      </c>
      <c r="T29" s="125" t="str">
        <f t="shared" si="7"/>
        <v>NS</v>
      </c>
      <c r="U29" s="153" t="str">
        <f t="shared" si="8"/>
        <v>H1</v>
      </c>
      <c r="V29" s="126">
        <f t="shared" si="9"/>
        <v>2.0414224406140641E-3</v>
      </c>
      <c r="W29" s="127">
        <f t="shared" si="10"/>
        <v>91.185769442095875</v>
      </c>
      <c r="X29" s="140">
        <v>93.5</v>
      </c>
      <c r="Y29" s="141">
        <v>93.1</v>
      </c>
      <c r="Z29" s="142">
        <f t="shared" si="11"/>
        <v>-1.9142305579041192</v>
      </c>
      <c r="AA29" s="131">
        <f t="shared" si="12"/>
        <v>93.05904688105386</v>
      </c>
      <c r="AB29" s="143" t="str">
        <f t="shared" si="13"/>
        <v/>
      </c>
      <c r="AC29" s="133">
        <f t="shared" si="14"/>
        <v>2.0414224406140641E-3</v>
      </c>
      <c r="AD29" s="133">
        <f t="shared" si="15"/>
        <v>1.9010412887099843E-3</v>
      </c>
      <c r="AE29" s="133">
        <f t="shared" si="16"/>
        <v>1.7227905655015641E-3</v>
      </c>
      <c r="AF29" s="134">
        <f t="shared" si="17"/>
        <v>0.70210571727856119</v>
      </c>
      <c r="AG29" s="144">
        <f>Données!G13</f>
        <v>0</v>
      </c>
      <c r="AH29" s="145">
        <f>Données!H13</f>
        <v>0</v>
      </c>
      <c r="AI29" s="107"/>
      <c r="AJ29" s="159" t="str">
        <f t="shared" si="18"/>
        <v/>
      </c>
      <c r="AK29" s="160" t="str">
        <f t="shared" si="19"/>
        <v/>
      </c>
      <c r="AL29" s="161" t="str">
        <f t="shared" si="21"/>
        <v/>
      </c>
      <c r="AM29" s="162" t="str">
        <f t="shared" si="22"/>
        <v/>
      </c>
      <c r="AN29" s="107"/>
      <c r="AO29" s="163" t="str">
        <f t="shared" si="20"/>
        <v/>
      </c>
    </row>
    <row r="30" spans="1:41" ht="16.95" customHeight="1" x14ac:dyDescent="0.3">
      <c r="A30" s="106" t="s">
        <v>155</v>
      </c>
      <c r="B30" s="120">
        <f>Données!B14</f>
        <v>91</v>
      </c>
      <c r="C30" s="120">
        <f>Données!C14</f>
        <v>93</v>
      </c>
      <c r="D30" s="120">
        <f>Données!D14</f>
        <v>95</v>
      </c>
      <c r="E30" s="120">
        <f>Données!E14</f>
        <v>97</v>
      </c>
      <c r="F30" s="120">
        <f>Données!F14</f>
        <v>99</v>
      </c>
      <c r="G30" s="120">
        <f>IF(ABS(B30-TREND($B30:$F30,{1,2,3,4,5},1))/ABS(TREND($B30:$F30,{1,2,3,4,5},1))&gt;$B$5,TREND($B30:$F30,{1,2,3,4,5},1),B30)</f>
        <v>91</v>
      </c>
      <c r="H30" s="120">
        <f>IF(ABS(C30-TREND($B30:$F30,{1,2,3,4,5},2))/ABS(TREND($B30:$F30,{1,2,3,4,5},2))&gt;$B$5,TREND($B30:$F30,{1,2,3,4,5},2),C30)</f>
        <v>93</v>
      </c>
      <c r="I30" s="120">
        <f>IF(ABS(D30-TREND($B30:$F30,{1,2,3,4,5},3))/ABS(TREND($B30:$F30,{1,2,3,4,5},3))&gt;$B$5,TREND($B30:$F30,{1,2,3,4,5},3),D30)</f>
        <v>95</v>
      </c>
      <c r="J30" s="120">
        <f>IF(ABS(E30-TREND($B30:$F30,{1,2,3,4,5},4))/ABS(TREND($B30:$F30,{1,2,3,4,5},4))&gt;$B$5,TREND($B30:$F30,{1,2,3,4,5},4),E30)</f>
        <v>97</v>
      </c>
      <c r="K30" s="120">
        <f>IF(ABS(F30-TREND($B30:$F30,{1,2,3,4,5},5))/ABS(TREND($B30:$F30,{1,2,3,4,5},5))&gt;$B$5,TREND($B30:$F30,{1,2,3,4,5},5),F30)</f>
        <v>99</v>
      </c>
      <c r="L30" s="121" t="str">
        <f>IF(AND(ABS(B30-TREND($B30:$F30,{1,2,3,4,5},1))/ABS(TREND($B30:$F30,{1,2,3,4,5},1))&gt;$B$5&lt;=$B$5,ABS(C30-TREND($B30:$F30,{1,2,3,4,5},2))/ABS(TREND($B30:$F30,{1,2,3,4,5},2))&gt;$B$5&lt;=$B$5,ABS(D30-TREND($B30:$F30,{1,2,3,4,5},3))/ABS(TREND($B30:$F30,{1,2,3,4,5},3))&gt;$B$5&lt;=$B$5,ABS(E30-TREND($B30:$F30,{1,2,3,4,5},4))/ABS(TREND($B30:$F30,{1,2,3,4,5},4))&gt;$B$5&lt;=$B$5,ABS(F30-TREND($B30:$F30,{1,2,3,4,5},5))/ABS(TREND($B30:$F30,{1,2,3,4,5},5))&gt;$B$5&lt;=$B$5),"✓",TRIM(IF(ABS(B30-TREND($B30:$F30,{1,2,3,4,5},1))/ABS(TREND($B30:$F30,{1,2,3,4,5},1))&gt;$B$5,"⚠Y-5 ","")&amp;IF(ABS(C30-TREND($B30:$F30,{1,2,3,4,5},2))/ABS(TREND($B30:$F30,{1,2,3,4,5},2))&gt;$B$5,"⚠Y-4 ","")&amp;IF(ABS(D30-TREND($B30:$F30,{1,2,3,4,5},3))/ABS(TREND($B30:$F30,{1,2,3,4,5},3))&gt;$B$5,"⚠Y-3 ","")&amp;IF(ABS(E30-TREND($B30:$F30,{1,2,3,4,5},4))/ABS(TREND($B30:$F30,{1,2,3,4,5},4))&gt;$B$5,"⚠Y-2 ","")&amp;IF(ABS(F30-TREND($B30:$F30,{1,2,3,4,5},5))/ABS(TREND($B30:$F30,{1,2,3,4,5},5))&gt;$B$5,"⚠Y-1 ","")))</f>
        <v/>
      </c>
      <c r="M30" s="122">
        <f t="shared" si="0"/>
        <v>1.071638861629048</v>
      </c>
      <c r="N30" s="122">
        <f t="shared" si="1"/>
        <v>1.0699904122722914</v>
      </c>
      <c r="O30" s="122">
        <f t="shared" si="2"/>
        <v>1.0684161199625117</v>
      </c>
      <c r="P30" s="122">
        <f t="shared" si="3"/>
        <v>1.0565489697739856</v>
      </c>
      <c r="Q30" s="122">
        <f t="shared" si="4"/>
        <v>1.0635631154879142</v>
      </c>
      <c r="R30" s="123">
        <f t="shared" si="5"/>
        <v>1.0639347540018125</v>
      </c>
      <c r="S30" s="124" t="str">
        <f t="shared" si="6"/>
        <v>NS</v>
      </c>
      <c r="T30" s="125" t="str">
        <f t="shared" si="7"/>
        <v>NS</v>
      </c>
      <c r="U30" s="153" t="str">
        <f t="shared" si="8"/>
        <v>H1</v>
      </c>
      <c r="V30" s="126">
        <f t="shared" si="9"/>
        <v>2.0414224406140641E-3</v>
      </c>
      <c r="W30" s="127">
        <f t="shared" si="10"/>
        <v>99.202100821620789</v>
      </c>
      <c r="X30" s="128">
        <v>101.6</v>
      </c>
      <c r="Y30" s="129">
        <v>101.4</v>
      </c>
      <c r="Z30" s="130">
        <f t="shared" si="11"/>
        <v>-2.1978991783792168</v>
      </c>
      <c r="AA30" s="131">
        <f t="shared" si="12"/>
        <v>101.05412913727618</v>
      </c>
      <c r="AB30" s="132" t="str">
        <f t="shared" si="13"/>
        <v/>
      </c>
      <c r="AC30" s="133">
        <f t="shared" si="14"/>
        <v>2.0414224406140641E-3</v>
      </c>
      <c r="AD30" s="133">
        <f t="shared" si="15"/>
        <v>1.9010412887099843E-3</v>
      </c>
      <c r="AE30" s="133">
        <f t="shared" si="16"/>
        <v>1.7227905655015641E-3</v>
      </c>
      <c r="AF30" s="134">
        <f t="shared" si="17"/>
        <v>0.70210571727856119</v>
      </c>
      <c r="AG30" s="135">
        <f>Données!G14</f>
        <v>0</v>
      </c>
      <c r="AH30" s="136">
        <f>Données!H14</f>
        <v>0</v>
      </c>
      <c r="AI30" s="107"/>
      <c r="AJ30" s="154" t="str">
        <f t="shared" si="18"/>
        <v/>
      </c>
      <c r="AK30" s="155" t="str">
        <f t="shared" si="19"/>
        <v/>
      </c>
      <c r="AL30" s="156" t="str">
        <f t="shared" si="21"/>
        <v/>
      </c>
      <c r="AM30" s="157" t="str">
        <f t="shared" si="22"/>
        <v/>
      </c>
      <c r="AN30" s="107"/>
      <c r="AO30" s="158" t="str">
        <f t="shared" si="20"/>
        <v/>
      </c>
    </row>
    <row r="31" spans="1:41" ht="16.95" customHeight="1" x14ac:dyDescent="0.3">
      <c r="A31" s="110" t="s">
        <v>156</v>
      </c>
      <c r="B31" s="137">
        <f>Données!B15</f>
        <v>116</v>
      </c>
      <c r="C31" s="137">
        <f>Données!C15</f>
        <v>118</v>
      </c>
      <c r="D31" s="137">
        <f>Données!D15</f>
        <v>120</v>
      </c>
      <c r="E31" s="137">
        <f>Données!E15</f>
        <v>155</v>
      </c>
      <c r="F31" s="137">
        <f>Données!F15</f>
        <v>126</v>
      </c>
      <c r="G31" s="137">
        <f>IF(ABS(B31-TREND($B31:$F31,{1,2,3,4,5},1))/ABS(TREND($B31:$F31,{1,2,3,4,5},1))&gt;$B$5,TREND($B31:$F31,{1,2,3,4,5},1),B31)</f>
        <v>116</v>
      </c>
      <c r="H31" s="137">
        <f>IF(ABS(C31-TREND($B31:$F31,{1,2,3,4,5},2))/ABS(TREND($B31:$F31,{1,2,3,4,5},2))&gt;$B$5,TREND($B31:$F31,{1,2,3,4,5},2),C31)</f>
        <v>118</v>
      </c>
      <c r="I31" s="137">
        <f>IF(ABS(D31-TREND($B31:$F31,{1,2,3,4,5},3))/ABS(TREND($B31:$F31,{1,2,3,4,5},3))&gt;$B$5,TREND($B31:$F31,{1,2,3,4,5},3),D31)</f>
        <v>120</v>
      </c>
      <c r="J31" s="137">
        <f>IF(ABS(E31-TREND($B31:$F31,{1,2,3,4,5},4))/ABS(TREND($B31:$F31,{1,2,3,4,5},4))&gt;$B$5,TREND($B31:$F31,{1,2,3,4,5},4),E31)</f>
        <v>132.70000000000002</v>
      </c>
      <c r="K31" s="137">
        <f>IF(ABS(F31-TREND($B31:$F31,{1,2,3,4,5},5))/ABS(TREND($B31:$F31,{1,2,3,4,5},5))&gt;$B$5,TREND($B31:$F31,{1,2,3,4,5},5),F31)</f>
        <v>126</v>
      </c>
      <c r="L31" s="138" t="str">
        <f>IF(AND(ABS(B31-TREND($B31:$F31,{1,2,3,4,5},1))/ABS(TREND($B31:$F31,{1,2,3,4,5},1))&gt;$B$5&lt;=$B$5,ABS(C31-TREND($B31:$F31,{1,2,3,4,5},2))/ABS(TREND($B31:$F31,{1,2,3,4,5},2))&gt;$B$5&lt;=$B$5,ABS(D31-TREND($B31:$F31,{1,2,3,4,5},3))/ABS(TREND($B31:$F31,{1,2,3,4,5},3))&gt;$B$5&lt;=$B$5,ABS(E31-TREND($B31:$F31,{1,2,3,4,5},4))/ABS(TREND($B31:$F31,{1,2,3,4,5},4))&gt;$B$5&lt;=$B$5,ABS(F31-TREND($B31:$F31,{1,2,3,4,5},5))/ABS(TREND($B31:$F31,{1,2,3,4,5},5))&gt;$B$5&lt;=$B$5),"✓",TRIM(IF(ABS(B31-TREND($B31:$F31,{1,2,3,4,5},1))/ABS(TREND($B31:$F31,{1,2,3,4,5},1))&gt;$B$5,"⚠Y-5 ","")&amp;IF(ABS(C31-TREND($B31:$F31,{1,2,3,4,5},2))/ABS(TREND($B31:$F31,{1,2,3,4,5},2))&gt;$B$5,"⚠Y-4 ","")&amp;IF(ABS(D31-TREND($B31:$F31,{1,2,3,4,5},3))/ABS(TREND($B31:$F31,{1,2,3,4,5},3))&gt;$B$5,"⚠Y-3 ","")&amp;IF(ABS(E31-TREND($B31:$F31,{1,2,3,4,5},4))/ABS(TREND($B31:$F31,{1,2,3,4,5},4))&gt;$B$5,"⚠Y-2 ","")&amp;IF(ABS(F31-TREND($B31:$F31,{1,2,3,4,5},5))/ABS(TREND($B31:$F31,{1,2,3,4,5},5))&gt;$B$5,"⚠Y-1 ","")))</f>
        <v>⚠Y-2</v>
      </c>
      <c r="M31" s="139">
        <f t="shared" si="0"/>
        <v>1.3660451422963689</v>
      </c>
      <c r="N31" s="139">
        <f t="shared" si="1"/>
        <v>1.3576222435282836</v>
      </c>
      <c r="O31" s="139">
        <f t="shared" si="2"/>
        <v>1.3495782567947516</v>
      </c>
      <c r="P31" s="139">
        <f t="shared" si="3"/>
        <v>1.4454025596804938</v>
      </c>
      <c r="Q31" s="139">
        <f t="shared" si="4"/>
        <v>1.3536257833482543</v>
      </c>
      <c r="R31" s="123">
        <f t="shared" si="5"/>
        <v>1.3723946235970854</v>
      </c>
      <c r="S31" s="124" t="str">
        <f t="shared" si="6"/>
        <v>SH</v>
      </c>
      <c r="T31" s="125" t="str">
        <f t="shared" si="7"/>
        <v>SH</v>
      </c>
      <c r="U31" s="153" t="str">
        <f t="shared" si="8"/>
        <v>H2</v>
      </c>
      <c r="V31" s="126">
        <f t="shared" si="9"/>
        <v>-2.947070228087067E-3</v>
      </c>
      <c r="W31" s="127">
        <f t="shared" si="10"/>
        <v>125.62866915126104</v>
      </c>
      <c r="X31" s="140">
        <v>134.80000000000001</v>
      </c>
      <c r="Y31" s="141">
        <v>132</v>
      </c>
      <c r="Z31" s="142">
        <f t="shared" si="11"/>
        <v>-6.3713308487389639</v>
      </c>
      <c r="AA31" s="131">
        <f t="shared" si="12"/>
        <v>125.54729728711378</v>
      </c>
      <c r="AB31" s="143" t="str">
        <f t="shared" si="13"/>
        <v>⚠ retournement</v>
      </c>
      <c r="AC31" s="133">
        <f t="shared" si="14"/>
        <v>1.7959770114942541E-3</v>
      </c>
      <c r="AD31" s="133">
        <f t="shared" si="15"/>
        <v>-4.2074855563928775E-3</v>
      </c>
      <c r="AE31" s="133">
        <f t="shared" si="16"/>
        <v>-4.2074855563928775E-3</v>
      </c>
      <c r="AF31" s="134">
        <f t="shared" si="17"/>
        <v>0.79005193851830691</v>
      </c>
      <c r="AG31" s="144">
        <f>Données!G15</f>
        <v>0</v>
      </c>
      <c r="AH31" s="145">
        <f>Données!H15</f>
        <v>0</v>
      </c>
      <c r="AI31" s="107"/>
      <c r="AJ31" s="159" t="str">
        <f t="shared" si="18"/>
        <v/>
      </c>
      <c r="AK31" s="160" t="str">
        <f t="shared" si="19"/>
        <v/>
      </c>
      <c r="AL31" s="161" t="str">
        <f t="shared" si="21"/>
        <v/>
      </c>
      <c r="AM31" s="162" t="str">
        <f t="shared" si="22"/>
        <v/>
      </c>
      <c r="AN31" s="107"/>
      <c r="AO31" s="163" t="str">
        <f t="shared" si="20"/>
        <v/>
      </c>
    </row>
    <row r="32" spans="1:41" ht="16.95" customHeight="1" x14ac:dyDescent="0.3">
      <c r="A32" s="106" t="s">
        <v>157</v>
      </c>
      <c r="B32" s="120">
        <f>Données!B16</f>
        <v>96</v>
      </c>
      <c r="C32" s="120">
        <f>Données!C16</f>
        <v>98</v>
      </c>
      <c r="D32" s="120">
        <f>Données!D16</f>
        <v>100</v>
      </c>
      <c r="E32" s="120">
        <f>Données!E16</f>
        <v>102</v>
      </c>
      <c r="F32" s="120">
        <f>Données!F16</f>
        <v>104</v>
      </c>
      <c r="G32" s="120">
        <f>IF(ABS(B32-TREND($B32:$F32,{1,2,3,4,5},1))/ABS(TREND($B32:$F32,{1,2,3,4,5},1))&gt;$B$5,TREND($B32:$F32,{1,2,3,4,5},1),B32)</f>
        <v>96</v>
      </c>
      <c r="H32" s="120">
        <f>IF(ABS(C32-TREND($B32:$F32,{1,2,3,4,5},2))/ABS(TREND($B32:$F32,{1,2,3,4,5},2))&gt;$B$5,TREND($B32:$F32,{1,2,3,4,5},2),C32)</f>
        <v>98</v>
      </c>
      <c r="I32" s="120">
        <f>IF(ABS(D32-TREND($B32:$F32,{1,2,3,4,5},3))/ABS(TREND($B32:$F32,{1,2,3,4,5},3))&gt;$B$5,TREND($B32:$F32,{1,2,3,4,5},3),D32)</f>
        <v>100</v>
      </c>
      <c r="J32" s="120">
        <f>IF(ABS(E32-TREND($B32:$F32,{1,2,3,4,5},4))/ABS(TREND($B32:$F32,{1,2,3,4,5},4))&gt;$B$5,TREND($B32:$F32,{1,2,3,4,5},4),E32)</f>
        <v>102</v>
      </c>
      <c r="K32" s="120">
        <f>IF(ABS(F32-TREND($B32:$F32,{1,2,3,4,5},5))/ABS(TREND($B32:$F32,{1,2,3,4,5},5))&gt;$B$5,TREND($B32:$F32,{1,2,3,4,5},5),F32)</f>
        <v>104</v>
      </c>
      <c r="L32" s="121" t="str">
        <f>IF(AND(ABS(B32-TREND($B32:$F32,{1,2,3,4,5},1))/ABS(TREND($B32:$F32,{1,2,3,4,5},1))&gt;$B$5&lt;=$B$5,ABS(C32-TREND($B32:$F32,{1,2,3,4,5},2))/ABS(TREND($B32:$F32,{1,2,3,4,5},2))&gt;$B$5&lt;=$B$5,ABS(D32-TREND($B32:$F32,{1,2,3,4,5},3))/ABS(TREND($B32:$F32,{1,2,3,4,5},3))&gt;$B$5&lt;=$B$5,ABS(E32-TREND($B32:$F32,{1,2,3,4,5},4))/ABS(TREND($B32:$F32,{1,2,3,4,5},4))&gt;$B$5&lt;=$B$5,ABS(F32-TREND($B32:$F32,{1,2,3,4,5},5))/ABS(TREND($B32:$F32,{1,2,3,4,5},5))&gt;$B$5&lt;=$B$5),"✓",TRIM(IF(ABS(B32-TREND($B32:$F32,{1,2,3,4,5},1))/ABS(TREND($B32:$F32,{1,2,3,4,5},1))&gt;$B$5,"⚠Y-5 ","")&amp;IF(ABS(C32-TREND($B32:$F32,{1,2,3,4,5},2))/ABS(TREND($B32:$F32,{1,2,3,4,5},2))&gt;$B$5,"⚠Y-4 ","")&amp;IF(ABS(D32-TREND($B32:$F32,{1,2,3,4,5},3))/ABS(TREND($B32:$F32,{1,2,3,4,5},3))&gt;$B$5,"⚠Y-3 ","")&amp;IF(ABS(E32-TREND($B32:$F32,{1,2,3,4,5},4))/ABS(TREND($B32:$F32,{1,2,3,4,5},4))&gt;$B$5,"⚠Y-2 ","")&amp;IF(ABS(F32-TREND($B32:$F32,{1,2,3,4,5},5))/ABS(TREND($B32:$F32,{1,2,3,4,5},5))&gt;$B$5,"⚠Y-1 ","")))</f>
        <v/>
      </c>
      <c r="M32" s="122">
        <f t="shared" si="0"/>
        <v>1.1305201177625122</v>
      </c>
      <c r="N32" s="122">
        <f t="shared" si="1"/>
        <v>1.1275167785234899</v>
      </c>
      <c r="O32" s="122">
        <f t="shared" si="2"/>
        <v>1.1246485473289596</v>
      </c>
      <c r="P32" s="122">
        <f t="shared" si="3"/>
        <v>1.1110102568757374</v>
      </c>
      <c r="Q32" s="122">
        <f t="shared" si="4"/>
        <v>1.1172784243509402</v>
      </c>
      <c r="R32" s="123">
        <f t="shared" si="5"/>
        <v>1.1188162293904362</v>
      </c>
      <c r="S32" s="124" t="str">
        <f t="shared" si="6"/>
        <v>NS</v>
      </c>
      <c r="T32" s="125" t="str">
        <f t="shared" si="7"/>
        <v>NS</v>
      </c>
      <c r="U32" s="153" t="str">
        <f t="shared" si="8"/>
        <v>H1</v>
      </c>
      <c r="V32" s="126">
        <f t="shared" si="9"/>
        <v>2.0414224406140641E-3</v>
      </c>
      <c r="W32" s="127">
        <f t="shared" si="10"/>
        <v>104.21230793382385</v>
      </c>
      <c r="X32" s="128">
        <v>106.7</v>
      </c>
      <c r="Y32" s="129">
        <v>106.6</v>
      </c>
      <c r="Z32" s="130">
        <f t="shared" si="11"/>
        <v>-2.3876920661761432</v>
      </c>
      <c r="AA32" s="131">
        <f t="shared" si="12"/>
        <v>106.05145098039218</v>
      </c>
      <c r="AB32" s="132" t="str">
        <f t="shared" si="13"/>
        <v/>
      </c>
      <c r="AC32" s="133">
        <f t="shared" si="14"/>
        <v>2.0414224406140641E-3</v>
      </c>
      <c r="AD32" s="133">
        <f t="shared" si="15"/>
        <v>1.9010412887099843E-3</v>
      </c>
      <c r="AE32" s="133">
        <f t="shared" si="16"/>
        <v>1.7227905655015641E-3</v>
      </c>
      <c r="AF32" s="134">
        <f t="shared" si="17"/>
        <v>0.70210571727856119</v>
      </c>
      <c r="AG32" s="135">
        <f>Données!G16</f>
        <v>0</v>
      </c>
      <c r="AH32" s="136">
        <f>Données!H16</f>
        <v>0</v>
      </c>
      <c r="AI32" s="107"/>
      <c r="AJ32" s="154" t="str">
        <f t="shared" si="18"/>
        <v/>
      </c>
      <c r="AK32" s="155" t="str">
        <f t="shared" si="19"/>
        <v/>
      </c>
      <c r="AL32" s="156" t="str">
        <f t="shared" si="21"/>
        <v/>
      </c>
      <c r="AM32" s="157" t="str">
        <f t="shared" si="22"/>
        <v/>
      </c>
      <c r="AN32" s="107"/>
      <c r="AO32" s="158" t="str">
        <f t="shared" si="20"/>
        <v/>
      </c>
    </row>
    <row r="33" spans="1:41" ht="16.95" customHeight="1" x14ac:dyDescent="0.3">
      <c r="A33" s="110" t="s">
        <v>158</v>
      </c>
      <c r="B33" s="137">
        <f>Données!B17</f>
        <v>86</v>
      </c>
      <c r="C33" s="137">
        <f>Données!C17</f>
        <v>88</v>
      </c>
      <c r="D33" s="137">
        <f>Données!D17</f>
        <v>90</v>
      </c>
      <c r="E33" s="137">
        <f>Données!E17</f>
        <v>92</v>
      </c>
      <c r="F33" s="137">
        <f>Données!F17</f>
        <v>94</v>
      </c>
      <c r="G33" s="137">
        <f>IF(ABS(B33-TREND($B33:$F33,{1,2,3,4,5},1))/ABS(TREND($B33:$F33,{1,2,3,4,5},1))&gt;$B$5,TREND($B33:$F33,{1,2,3,4,5},1),B33)</f>
        <v>86</v>
      </c>
      <c r="H33" s="137">
        <f>IF(ABS(C33-TREND($B33:$F33,{1,2,3,4,5},2))/ABS(TREND($B33:$F33,{1,2,3,4,5},2))&gt;$B$5,TREND($B33:$F33,{1,2,3,4,5},2),C33)</f>
        <v>88</v>
      </c>
      <c r="I33" s="137">
        <f>IF(ABS(D33-TREND($B33:$F33,{1,2,3,4,5},3))/ABS(TREND($B33:$F33,{1,2,3,4,5},3))&gt;$B$5,TREND($B33:$F33,{1,2,3,4,5},3),D33)</f>
        <v>90</v>
      </c>
      <c r="J33" s="137">
        <f>IF(ABS(E33-TREND($B33:$F33,{1,2,3,4,5},4))/ABS(TREND($B33:$F33,{1,2,3,4,5},4))&gt;$B$5,TREND($B33:$F33,{1,2,3,4,5},4),E33)</f>
        <v>92</v>
      </c>
      <c r="K33" s="137">
        <f>IF(ABS(F33-TREND($B33:$F33,{1,2,3,4,5},5))/ABS(TREND($B33:$F33,{1,2,3,4,5},5))&gt;$B$5,TREND($B33:$F33,{1,2,3,4,5},5),F33)</f>
        <v>94</v>
      </c>
      <c r="L33" s="138" t="str">
        <f>IF(AND(ABS(B33-TREND($B33:$F33,{1,2,3,4,5},1))/ABS(TREND($B33:$F33,{1,2,3,4,5},1))&gt;$B$5&lt;=$B$5,ABS(C33-TREND($B33:$F33,{1,2,3,4,5},2))/ABS(TREND($B33:$F33,{1,2,3,4,5},2))&gt;$B$5&lt;=$B$5,ABS(D33-TREND($B33:$F33,{1,2,3,4,5},3))/ABS(TREND($B33:$F33,{1,2,3,4,5},3))&gt;$B$5&lt;=$B$5,ABS(E33-TREND($B33:$F33,{1,2,3,4,5},4))/ABS(TREND($B33:$F33,{1,2,3,4,5},4))&gt;$B$5&lt;=$B$5,ABS(F33-TREND($B33:$F33,{1,2,3,4,5},5))/ABS(TREND($B33:$F33,{1,2,3,4,5},5))&gt;$B$5&lt;=$B$5),"✓",TRIM(IF(ABS(B33-TREND($B33:$F33,{1,2,3,4,5},1))/ABS(TREND($B33:$F33,{1,2,3,4,5},1))&gt;$B$5,"⚠Y-5 ","")&amp;IF(ABS(C33-TREND($B33:$F33,{1,2,3,4,5},2))/ABS(TREND($B33:$F33,{1,2,3,4,5},2))&gt;$B$5,"⚠Y-4 ","")&amp;IF(ABS(D33-TREND($B33:$F33,{1,2,3,4,5},3))/ABS(TREND($B33:$F33,{1,2,3,4,5},3))&gt;$B$5,"⚠Y-3 ","")&amp;IF(ABS(E33-TREND($B33:$F33,{1,2,3,4,5},4))/ABS(TREND($B33:$F33,{1,2,3,4,5},4))&gt;$B$5,"⚠Y-2 ","")&amp;IF(ABS(F33-TREND($B33:$F33,{1,2,3,4,5},5))/ABS(TREND($B33:$F33,{1,2,3,4,5},5))&gt;$B$5,"⚠Y-1 ","")))</f>
        <v/>
      </c>
      <c r="M33" s="139">
        <f t="shared" si="0"/>
        <v>1.0127576054955838</v>
      </c>
      <c r="N33" s="139">
        <f t="shared" si="1"/>
        <v>1.012464046021093</v>
      </c>
      <c r="O33" s="139">
        <f t="shared" si="2"/>
        <v>1.0121836925960637</v>
      </c>
      <c r="P33" s="139">
        <f t="shared" si="3"/>
        <v>1.0020876826722338</v>
      </c>
      <c r="Q33" s="139">
        <f t="shared" si="4"/>
        <v>1.0098478066248882</v>
      </c>
      <c r="R33" s="123">
        <f t="shared" si="5"/>
        <v>1.0090532786131887</v>
      </c>
      <c r="S33" s="124" t="str">
        <f t="shared" si="6"/>
        <v>NS</v>
      </c>
      <c r="T33" s="125" t="str">
        <f t="shared" si="7"/>
        <v>NS</v>
      </c>
      <c r="U33" s="153" t="str">
        <f t="shared" si="8"/>
        <v>H1</v>
      </c>
      <c r="V33" s="126">
        <f t="shared" si="9"/>
        <v>2.0414224406140641E-3</v>
      </c>
      <c r="W33" s="127">
        <f t="shared" si="10"/>
        <v>94.191893709417712</v>
      </c>
      <c r="X33" s="140">
        <v>96.5</v>
      </c>
      <c r="Y33" s="141">
        <v>96.2</v>
      </c>
      <c r="Z33" s="142">
        <f t="shared" si="11"/>
        <v>-2.0081062905822904</v>
      </c>
      <c r="AA33" s="131">
        <f t="shared" si="12"/>
        <v>96.057101449275365</v>
      </c>
      <c r="AB33" s="143" t="str">
        <f t="shared" si="13"/>
        <v/>
      </c>
      <c r="AC33" s="133">
        <f t="shared" si="14"/>
        <v>2.0414224406140641E-3</v>
      </c>
      <c r="AD33" s="133">
        <f t="shared" si="15"/>
        <v>1.9010412887099843E-3</v>
      </c>
      <c r="AE33" s="133">
        <f t="shared" si="16"/>
        <v>1.7227905655015641E-3</v>
      </c>
      <c r="AF33" s="134">
        <f t="shared" si="17"/>
        <v>0.70210571727856119</v>
      </c>
      <c r="AG33" s="144">
        <f>Données!G17</f>
        <v>0</v>
      </c>
      <c r="AH33" s="145">
        <f>Données!H17</f>
        <v>0</v>
      </c>
      <c r="AI33" s="107"/>
      <c r="AJ33" s="159" t="str">
        <f t="shared" si="18"/>
        <v/>
      </c>
      <c r="AK33" s="160" t="str">
        <f t="shared" si="19"/>
        <v/>
      </c>
      <c r="AL33" s="161" t="str">
        <f t="shared" si="21"/>
        <v/>
      </c>
      <c r="AM33" s="162" t="str">
        <f t="shared" si="22"/>
        <v/>
      </c>
      <c r="AN33" s="107"/>
      <c r="AO33" s="163" t="str">
        <f t="shared" si="20"/>
        <v/>
      </c>
    </row>
    <row r="34" spans="1:41" ht="18" customHeight="1" x14ac:dyDescent="0.3">
      <c r="A34" s="146" t="s">
        <v>29</v>
      </c>
      <c r="B34" s="147">
        <f t="shared" ref="B34:K34" si="23">SUM(B22:B33)</f>
        <v>1019</v>
      </c>
      <c r="C34" s="147">
        <f t="shared" si="23"/>
        <v>1043</v>
      </c>
      <c r="D34" s="147">
        <f t="shared" si="23"/>
        <v>1067</v>
      </c>
      <c r="E34" s="147">
        <f t="shared" si="23"/>
        <v>1124</v>
      </c>
      <c r="F34" s="147">
        <f t="shared" si="23"/>
        <v>1117</v>
      </c>
      <c r="G34" s="147">
        <f t="shared" si="23"/>
        <v>1019</v>
      </c>
      <c r="H34" s="147">
        <f t="shared" si="23"/>
        <v>1043</v>
      </c>
      <c r="I34" s="147">
        <f t="shared" si="23"/>
        <v>1067</v>
      </c>
      <c r="J34" s="147">
        <f t="shared" si="23"/>
        <v>1101.7</v>
      </c>
      <c r="K34" s="147">
        <f t="shared" si="23"/>
        <v>1117</v>
      </c>
      <c r="L34" s="148"/>
      <c r="M34" s="148"/>
      <c r="N34" s="148"/>
      <c r="O34" s="148"/>
      <c r="P34" s="148"/>
      <c r="Q34" s="148"/>
      <c r="R34" s="148"/>
      <c r="S34" s="148"/>
      <c r="T34" s="148"/>
      <c r="U34" s="148"/>
      <c r="V34" s="148"/>
      <c r="W34" s="147">
        <f>SUM(W22:W33)</f>
        <v>1136.3878519671082</v>
      </c>
      <c r="X34" s="147">
        <f>SUM(X22:X33)</f>
        <v>1170.8999999999999</v>
      </c>
      <c r="Y34" s="147">
        <f>SUM(Y22:Y33)</f>
        <v>1163.5999999999999</v>
      </c>
      <c r="Z34" s="149">
        <f>SUM(Z22:Z33)</f>
        <v>-27.212148032891591</v>
      </c>
      <c r="AA34" s="147">
        <f>SUM(AA22:AA33)</f>
        <v>1157.3189556856082</v>
      </c>
      <c r="AB34" s="148"/>
      <c r="AC34" s="148"/>
      <c r="AD34" s="148"/>
      <c r="AE34" s="148"/>
      <c r="AF34" s="148"/>
      <c r="AG34" s="148"/>
      <c r="AH34" s="148"/>
    </row>
    <row r="35" spans="1:41" ht="4.95" customHeight="1" x14ac:dyDescent="0.3">
      <c r="A35" s="48"/>
      <c r="B35" s="48"/>
      <c r="C35" s="48"/>
      <c r="D35" s="48"/>
      <c r="E35" s="48"/>
      <c r="F35" s="48"/>
      <c r="G35" s="48"/>
      <c r="H35" s="48"/>
      <c r="I35" s="48"/>
      <c r="J35" s="48"/>
      <c r="K35" s="48"/>
      <c r="L35" s="48"/>
      <c r="M35" s="48"/>
      <c r="N35" s="48"/>
      <c r="O35" s="48"/>
      <c r="P35" s="48"/>
      <c r="Q35" s="48"/>
      <c r="R35" s="48"/>
      <c r="S35" s="48"/>
      <c r="T35" s="48"/>
      <c r="U35" s="48"/>
    </row>
    <row r="36" spans="1:41" ht="16.05" customHeight="1" x14ac:dyDescent="0.3">
      <c r="A36" s="49" t="s">
        <v>82</v>
      </c>
      <c r="B36" s="50">
        <f>SUMPRODUCT(ABS(J22:J33*(J22:J33/I22:I33)-K22:K33)/K22:K33)/12</f>
        <v>1.4199073398998924E-2</v>
      </c>
      <c r="C36" s="381" t="s">
        <v>233</v>
      </c>
      <c r="D36" s="373"/>
      <c r="E36" s="373"/>
      <c r="F36" s="373"/>
      <c r="G36" s="373"/>
      <c r="H36" s="373"/>
      <c r="I36" s="373"/>
      <c r="J36" s="373"/>
      <c r="K36" s="373"/>
      <c r="L36" s="373"/>
      <c r="M36" s="373"/>
      <c r="N36" s="373"/>
      <c r="O36" s="373"/>
      <c r="P36" s="373"/>
      <c r="Q36" s="373"/>
      <c r="R36" s="373"/>
      <c r="S36" s="373"/>
      <c r="T36" s="374"/>
    </row>
    <row r="37" spans="1:41" ht="4.95" customHeight="1" x14ac:dyDescent="0.3">
      <c r="A37" s="48"/>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row>
    <row r="38" spans="1:41" ht="18" customHeight="1" x14ac:dyDescent="0.3">
      <c r="A38" s="401" t="s">
        <v>234</v>
      </c>
      <c r="B38" s="373"/>
      <c r="C38" s="373"/>
      <c r="D38" s="373"/>
      <c r="E38" s="373"/>
      <c r="F38" s="373"/>
      <c r="G38" s="373"/>
      <c r="H38" s="373"/>
      <c r="I38" s="373"/>
      <c r="J38" s="373"/>
      <c r="K38" s="373"/>
      <c r="L38" s="373"/>
      <c r="M38" s="373"/>
      <c r="N38" s="373"/>
      <c r="O38" s="373"/>
      <c r="P38" s="373"/>
      <c r="Q38" s="373"/>
      <c r="R38" s="373"/>
      <c r="S38" s="373"/>
      <c r="T38" s="374"/>
    </row>
    <row r="39" spans="1:41" ht="16.95" customHeight="1" x14ac:dyDescent="0.3">
      <c r="A39" s="106" t="s">
        <v>147</v>
      </c>
      <c r="B39" s="120">
        <f>Données!B21</f>
        <v>49</v>
      </c>
      <c r="C39" s="120">
        <f>Données!C21</f>
        <v>52</v>
      </c>
      <c r="D39" s="120">
        <f>Données!D21</f>
        <v>55</v>
      </c>
      <c r="E39" s="120">
        <f>Données!E21</f>
        <v>58</v>
      </c>
      <c r="F39" s="120">
        <f>Données!F21</f>
        <v>61</v>
      </c>
      <c r="G39" s="120">
        <f>IF(ABS(B39-TREND($B39:$F39,{1,2,3,4,5},1))/ABS(TREND($B39:$F39,{1,2,3,4,5},1))&gt;$B$5,TREND($B39:$F39,{1,2,3,4,5},1),B39)</f>
        <v>49</v>
      </c>
      <c r="H39" s="120">
        <f>IF(ABS(C39-TREND($B39:$F39,{1,2,3,4,5},2))/ABS(TREND($B39:$F39,{1,2,3,4,5},2))&gt;$B$5,TREND($B39:$F39,{1,2,3,4,5},2),C39)</f>
        <v>52</v>
      </c>
      <c r="I39" s="120">
        <f>IF(ABS(D39-TREND($B39:$F39,{1,2,3,4,5},3))/ABS(TREND($B39:$F39,{1,2,3,4,5},3))&gt;$B$5,TREND($B39:$F39,{1,2,3,4,5},3),D39)</f>
        <v>55</v>
      </c>
      <c r="J39" s="120">
        <f>IF(ABS(E39-TREND($B39:$F39,{1,2,3,4,5},4))/ABS(TREND($B39:$F39,{1,2,3,4,5},4))&gt;$B$5,TREND($B39:$F39,{1,2,3,4,5},4),E39)</f>
        <v>58</v>
      </c>
      <c r="K39" s="120">
        <f>IF(ABS(F39-TREND($B39:$F39,{1,2,3,4,5},5))/ABS(TREND($B39:$F39,{1,2,3,4,5},5))&gt;$B$5,TREND($B39:$F39,{1,2,3,4,5},5),F39)</f>
        <v>61</v>
      </c>
      <c r="L39" s="121" t="str">
        <f>IF(AND(ABS(B39-TREND($B39:$F39,{1,2,3,4,5},1))/ABS(TREND($B39:$F39,{1,2,3,4,5},1))&gt;$B$5&lt;=$B$5,ABS(C39-TREND($B39:$F39,{1,2,3,4,5},2))/ABS(TREND($B39:$F39,{1,2,3,4,5},2))&gt;$B$5&lt;=$B$5,ABS(D39-TREND($B39:$F39,{1,2,3,4,5},3))/ABS(TREND($B39:$F39,{1,2,3,4,5},3))&gt;$B$5&lt;=$B$5,ABS(E39-TREND($B39:$F39,{1,2,3,4,5},4))/ABS(TREND($B39:$F39,{1,2,3,4,5},4))&gt;$B$5&lt;=$B$5,ABS(F39-TREND($B39:$F39,{1,2,3,4,5},5))/ABS(TREND($B39:$F39,{1,2,3,4,5},5))&gt;$B$5&lt;=$B$5),"✓",TRIM(IF(ABS(B39-TREND($B39:$F39,{1,2,3,4,5},1))/ABS(TREND($B39:$F39,{1,2,3,4,5},1))&gt;$B$5,"⚠Y-5 ","")&amp;IF(ABS(C39-TREND($B39:$F39,{1,2,3,4,5},2))/ABS(TREND($B39:$F39,{1,2,3,4,5},2))&gt;$B$5,"⚠Y-4 ","")&amp;IF(ABS(D39-TREND($B39:$F39,{1,2,3,4,5},3))/ABS(TREND($B39:$F39,{1,2,3,4,5},3))&gt;$B$5,"⚠Y-3 ","")&amp;IF(ABS(E39-TREND($B39:$F39,{1,2,3,4,5},4))/ABS(TREND($B39:$F39,{1,2,3,4,5},4))&gt;$B$5,"⚠Y-2 ","")&amp;IF(ABS(F39-TREND($B39:$F39,{1,2,3,4,5},5))/ABS(TREND($B39:$F39,{1,2,3,4,5},5))&gt;$B$5,"⚠Y-1 ","")))</f>
        <v/>
      </c>
      <c r="M39" s="122">
        <f t="shared" ref="M39:M50" si="24">G39/AVERAGE($G$39:$G$50)</f>
        <v>0.76264591439688711</v>
      </c>
      <c r="N39" s="122">
        <f t="shared" ref="N39:N50" si="25">H39/AVERAGE($H$39:$H$50)</f>
        <v>0.7665847665847666</v>
      </c>
      <c r="O39" s="122">
        <f t="shared" ref="O39:O50" si="26">I39/AVERAGE($I$39:$I$50)</f>
        <v>0.76583894174982603</v>
      </c>
      <c r="P39" s="122">
        <f t="shared" ref="P39:P50" si="27">J39/AVERAGE($J$39:$J$50)</f>
        <v>0.76677316293929709</v>
      </c>
      <c r="Q39" s="122">
        <f t="shared" ref="Q39:Q50" si="28">K39/AVERAGE($K$39:$K$50)</f>
        <v>0.76521011917206772</v>
      </c>
      <c r="R39" s="123">
        <f t="shared" ref="R39:R50" si="29">$B$8*M39+$B$9*N39+$B$10*O39+$B$11*P39+$B$12*Q39</f>
        <v>0.76562630581468816</v>
      </c>
      <c r="S39" s="124" t="str">
        <f t="shared" ref="S39:S50" si="30">IF(R39&lt;$B$6,"SB",IF(R39&gt;$B$7,"SH","NS"))</f>
        <v>NS</v>
      </c>
      <c r="T39" s="125" t="str">
        <f t="shared" ref="T39:T50" si="31">IF(SUMPRODUCT(--(M39:Q39&gt;$B$7))&gt;2.5,"SH",IF(SUMPRODUCT(--(M39:Q39&lt;$B$6))&gt;2.5,"SB","NS"))</f>
        <v>NS</v>
      </c>
      <c r="U39" s="153" t="str">
        <f t="shared" ref="U39:U50" si="32">IFERROR(IF(AND(ABS(AC39-AD39)&lt;$J$7,ABS(AD39-AE39)&lt;$J$7),"H1",IF(ABS(AC39-AD39)&gt;=$J$7,IF(ABS(AE39-AD39)&lt;=ABS(AE39-AC39),"H2","H2b"),"H3")),"—")</f>
        <v>H1</v>
      </c>
      <c r="V39" s="126">
        <f t="shared" ref="V39:V50" si="33">IFERROR(IF(U39="H1",AC39,IF(OR(U39="H2",U39="H2b"),IF(U39="H2",AF39*AD39+(1-AF39)*AC39,(1-AF39)*AD39+AF39*AC39),IF(ABS(AE39-AD39)&lt;=ABS(AE39-AC39),AD39,AC39))),AC39)</f>
        <v>5.1020408163265319E-3</v>
      </c>
      <c r="W39" s="127">
        <f t="shared" ref="W39:W50" si="34">K39*(1+V39)*(1+AG39*AH39)</f>
        <v>61.311224489795919</v>
      </c>
      <c r="X39" s="128">
        <v>64.099999999999994</v>
      </c>
      <c r="Y39" s="129">
        <v>63.8</v>
      </c>
      <c r="Z39" s="130">
        <f t="shared" ref="Z39:Z50" si="35">W39-Y39</f>
        <v>-2.4887755102040785</v>
      </c>
      <c r="AA39" s="131">
        <f t="shared" ref="AA39:AA50" si="36">K39*($B$14*K39/J39+$B$15*J39/I39)*(1+AG39*AH39)</f>
        <v>64.206802507836997</v>
      </c>
      <c r="AB39" s="132" t="str">
        <f t="shared" ref="AB39:AB50" si="37">IF(SIGN(K39/J39-1)&lt;&gt;SIGN(J39/I39-1),"⚠ retournement",IF(ABS(K39/J39-J39/I39)&gt;$B$16,"⚡ accél.",""))</f>
        <v/>
      </c>
      <c r="AC39" s="133">
        <f t="shared" ref="AC39:AC50" si="38">IFERROR(SUMPRODUCT(($T$39:$T$50=T39)*(($K$39:$K$50/$G$39:$G$50-1)/48))/COUNTIF($T$39:$T$50,T39),0)</f>
        <v>5.1020408163265319E-3</v>
      </c>
      <c r="AD39" s="133">
        <f t="shared" ref="AD39:AD50" si="39">IFERROR(SUMPRODUCT(($T$39:$T$50=T39)*(($K$39:$K$50/$J$39:$J$50-1)/12))/COUNTIF($T$39:$T$50,T39),0)</f>
        <v>4.310344827586206E-3</v>
      </c>
      <c r="AE39" s="133">
        <f t="shared" ref="AE39:AE50" si="40">IFERROR(IF(SUMPRODUCT(($T$39:$T$50=T39)*(ROW($T$39:$T$50)-ROW($T$39)+1&gt;9))&gt;0,SUMPRODUCT(($T$39:$T$50=T39)*(ROW($T$39:$T$50)-ROW($T$39)+1&gt;9)*(($K$39:$K$50/$J$39:$J$50-1)/12))/SUMPRODUCT(($T$39:$T$50=T39)*(ROW($T$39:$T$50)-ROW($T$39)+1&gt;9)),AD39),AD39)</f>
        <v>4.310344827586206E-3</v>
      </c>
      <c r="AF39" s="134">
        <f t="shared" ref="AF39:AF50" si="41">MIN($J$9,$B$14+($J$9-$B$14)*MIN(1,IFERROR(ABS(AC39-AD39)/$J$8,1)))</f>
        <v>0.71187543983110479</v>
      </c>
      <c r="AG39" s="135">
        <f>Données!G21</f>
        <v>0</v>
      </c>
      <c r="AH39" s="136">
        <f>Données!H21</f>
        <v>0</v>
      </c>
      <c r="AI39" s="107"/>
      <c r="AJ39" s="154" t="str">
        <f t="shared" ref="AJ39:AJ50" si="42">IF(AI39="","",(AI39-W39)/W39)</f>
        <v/>
      </c>
      <c r="AK39" s="155" t="str">
        <f t="shared" ref="AK39:AK50" si="43">IF(AI39="","",(AI39-AA39)/AA39)</f>
        <v/>
      </c>
      <c r="AL39" s="156"/>
      <c r="AM39" s="157"/>
      <c r="AN39" s="107"/>
      <c r="AO39" s="158" t="str">
        <f t="shared" ref="AO39:AO50" si="44">IF(AN39="","",(AN39-W39)/W39)</f>
        <v/>
      </c>
    </row>
    <row r="40" spans="1:41" ht="16.95" customHeight="1" x14ac:dyDescent="0.3">
      <c r="A40" s="110" t="s">
        <v>148</v>
      </c>
      <c r="B40" s="137">
        <f>Données!B22</f>
        <v>31</v>
      </c>
      <c r="C40" s="137">
        <f>Données!C22</f>
        <v>33</v>
      </c>
      <c r="D40" s="137">
        <f>Données!D22</f>
        <v>35</v>
      </c>
      <c r="E40" s="137">
        <f>Données!E22</f>
        <v>37</v>
      </c>
      <c r="F40" s="137">
        <f>Données!F22</f>
        <v>39</v>
      </c>
      <c r="G40" s="137">
        <f>IF(ABS(B40-TREND($B40:$F40,{1,2,3,4,5},1))/ABS(TREND($B40:$F40,{1,2,3,4,5},1))&gt;$B$5,TREND($B40:$F40,{1,2,3,4,5},1),B40)</f>
        <v>31</v>
      </c>
      <c r="H40" s="137">
        <f>IF(ABS(C40-TREND($B40:$F40,{1,2,3,4,5},2))/ABS(TREND($B40:$F40,{1,2,3,4,5},2))&gt;$B$5,TREND($B40:$F40,{1,2,3,4,5},2),C40)</f>
        <v>33</v>
      </c>
      <c r="I40" s="137">
        <f>IF(ABS(D40-TREND($B40:$F40,{1,2,3,4,5},3))/ABS(TREND($B40:$F40,{1,2,3,4,5},3))&gt;$B$5,TREND($B40:$F40,{1,2,3,4,5},3),D40)</f>
        <v>35</v>
      </c>
      <c r="J40" s="137">
        <f>IF(ABS(E40-TREND($B40:$F40,{1,2,3,4,5},4))/ABS(TREND($B40:$F40,{1,2,3,4,5},4))&gt;$B$5,TREND($B40:$F40,{1,2,3,4,5},4),E40)</f>
        <v>37</v>
      </c>
      <c r="K40" s="137">
        <f>IF(ABS(F40-TREND($B40:$F40,{1,2,3,4,5},5))/ABS(TREND($B40:$F40,{1,2,3,4,5},5))&gt;$B$5,TREND($B40:$F40,{1,2,3,4,5},5),F40)</f>
        <v>39</v>
      </c>
      <c r="L40" s="138" t="str">
        <f>IF(AND(ABS(B40-TREND($B40:$F40,{1,2,3,4,5},1))/ABS(TREND($B40:$F40,{1,2,3,4,5},1))&gt;$B$5&lt;=$B$5,ABS(C40-TREND($B40:$F40,{1,2,3,4,5},2))/ABS(TREND($B40:$F40,{1,2,3,4,5},2))&gt;$B$5&lt;=$B$5,ABS(D40-TREND($B40:$F40,{1,2,3,4,5},3))/ABS(TREND($B40:$F40,{1,2,3,4,5},3))&gt;$B$5&lt;=$B$5,ABS(E40-TREND($B40:$F40,{1,2,3,4,5},4))/ABS(TREND($B40:$F40,{1,2,3,4,5},4))&gt;$B$5&lt;=$B$5,ABS(F40-TREND($B40:$F40,{1,2,3,4,5},5))/ABS(TREND($B40:$F40,{1,2,3,4,5},5))&gt;$B$5&lt;=$B$5),"✓",TRIM(IF(ABS(B40-TREND($B40:$F40,{1,2,3,4,5},1))/ABS(TREND($B40:$F40,{1,2,3,4,5},1))&gt;$B$5,"⚠Y-5 ","")&amp;IF(ABS(C40-TREND($B40:$F40,{1,2,3,4,5},2))/ABS(TREND($B40:$F40,{1,2,3,4,5},2))&gt;$B$5,"⚠Y-4 ","")&amp;IF(ABS(D40-TREND($B40:$F40,{1,2,3,4,5},3))/ABS(TREND($B40:$F40,{1,2,3,4,5},3))&gt;$B$5,"⚠Y-3 ","")&amp;IF(ABS(E40-TREND($B40:$F40,{1,2,3,4,5},4))/ABS(TREND($B40:$F40,{1,2,3,4,5},4))&gt;$B$5,"⚠Y-2 ","")&amp;IF(ABS(F40-TREND($B40:$F40,{1,2,3,4,5},5))/ABS(TREND($B40:$F40,{1,2,3,4,5},5))&gt;$B$5,"⚠Y-1 ","")))</f>
        <v/>
      </c>
      <c r="M40" s="139">
        <f t="shared" si="24"/>
        <v>0.48249027237354086</v>
      </c>
      <c r="N40" s="139">
        <f t="shared" si="25"/>
        <v>0.48648648648648651</v>
      </c>
      <c r="O40" s="139">
        <f t="shared" si="26"/>
        <v>0.48735205384079833</v>
      </c>
      <c r="P40" s="139">
        <f t="shared" si="27"/>
        <v>0.48914839704748264</v>
      </c>
      <c r="Q40" s="139">
        <f t="shared" si="28"/>
        <v>0.48923269914279738</v>
      </c>
      <c r="R40" s="123">
        <f t="shared" si="29"/>
        <v>0.48832199932434062</v>
      </c>
      <c r="S40" s="124" t="str">
        <f t="shared" si="30"/>
        <v>SB</v>
      </c>
      <c r="T40" s="125" t="str">
        <f t="shared" si="31"/>
        <v>SB</v>
      </c>
      <c r="U40" s="153" t="str">
        <f t="shared" si="32"/>
        <v>H1</v>
      </c>
      <c r="V40" s="126">
        <f t="shared" si="33"/>
        <v>6.2071381166159531E-3</v>
      </c>
      <c r="W40" s="127">
        <f t="shared" si="34"/>
        <v>39.242078386548023</v>
      </c>
      <c r="X40" s="140">
        <v>41.1</v>
      </c>
      <c r="Y40" s="141">
        <v>40.700000000000003</v>
      </c>
      <c r="Z40" s="142">
        <f t="shared" si="35"/>
        <v>-1.4579216134519797</v>
      </c>
      <c r="AA40" s="131">
        <f t="shared" si="36"/>
        <v>41.1442471042471</v>
      </c>
      <c r="AB40" s="143" t="str">
        <f t="shared" si="37"/>
        <v/>
      </c>
      <c r="AC40" s="133">
        <f t="shared" si="38"/>
        <v>6.2071381166159531E-3</v>
      </c>
      <c r="AD40" s="133">
        <f t="shared" si="39"/>
        <v>5.106356651310302E-3</v>
      </c>
      <c r="AE40" s="133">
        <f t="shared" si="40"/>
        <v>5.106356651310302E-3</v>
      </c>
      <c r="AF40" s="134">
        <f t="shared" si="41"/>
        <v>0.71651172197958468</v>
      </c>
      <c r="AG40" s="144">
        <f>Données!G22</f>
        <v>0</v>
      </c>
      <c r="AH40" s="145">
        <f>Données!H22</f>
        <v>0</v>
      </c>
      <c r="AI40" s="107"/>
      <c r="AJ40" s="159" t="str">
        <f t="shared" si="42"/>
        <v/>
      </c>
      <c r="AK40" s="160" t="str">
        <f t="shared" si="43"/>
        <v/>
      </c>
      <c r="AL40" s="161"/>
      <c r="AM40" s="162"/>
      <c r="AN40" s="107"/>
      <c r="AO40" s="163" t="str">
        <f t="shared" si="44"/>
        <v/>
      </c>
    </row>
    <row r="41" spans="1:41" ht="16.95" customHeight="1" x14ac:dyDescent="0.3">
      <c r="A41" s="106" t="s">
        <v>149</v>
      </c>
      <c r="B41" s="120">
        <f>Données!B23</f>
        <v>23</v>
      </c>
      <c r="C41" s="120">
        <f>Données!C23</f>
        <v>24</v>
      </c>
      <c r="D41" s="120">
        <f>Données!D23</f>
        <v>25</v>
      </c>
      <c r="E41" s="120">
        <f>Données!E23</f>
        <v>26</v>
      </c>
      <c r="F41" s="120">
        <f>Données!F23</f>
        <v>27</v>
      </c>
      <c r="G41" s="120">
        <f>IF(ABS(B41-TREND($B41:$F41,{1,2,3,4,5},1))/ABS(TREND($B41:$F41,{1,2,3,4,5},1))&gt;$B$5,TREND($B41:$F41,{1,2,3,4,5},1),B41)</f>
        <v>23</v>
      </c>
      <c r="H41" s="120">
        <f>IF(ABS(C41-TREND($B41:$F41,{1,2,3,4,5},2))/ABS(TREND($B41:$F41,{1,2,3,4,5},2))&gt;$B$5,TREND($B41:$F41,{1,2,3,4,5},2),C41)</f>
        <v>24</v>
      </c>
      <c r="I41" s="120">
        <f>IF(ABS(D41-TREND($B41:$F41,{1,2,3,4,5},3))/ABS(TREND($B41:$F41,{1,2,3,4,5},3))&gt;$B$5,TREND($B41:$F41,{1,2,3,4,5},3),D41)</f>
        <v>25</v>
      </c>
      <c r="J41" s="120">
        <f>IF(ABS(E41-TREND($B41:$F41,{1,2,3,4,5},4))/ABS(TREND($B41:$F41,{1,2,3,4,5},4))&gt;$B$5,TREND($B41:$F41,{1,2,3,4,5},4),E41)</f>
        <v>26</v>
      </c>
      <c r="K41" s="120">
        <f>IF(ABS(F41-TREND($B41:$F41,{1,2,3,4,5},5))/ABS(TREND($B41:$F41,{1,2,3,4,5},5))&gt;$B$5,TREND($B41:$F41,{1,2,3,4,5},5),F41)</f>
        <v>27</v>
      </c>
      <c r="L41" s="121" t="str">
        <f>IF(AND(ABS(B41-TREND($B41:$F41,{1,2,3,4,5},1))/ABS(TREND($B41:$F41,{1,2,3,4,5},1))&gt;$B$5&lt;=$B$5,ABS(C41-TREND($B41:$F41,{1,2,3,4,5},2))/ABS(TREND($B41:$F41,{1,2,3,4,5},2))&gt;$B$5&lt;=$B$5,ABS(D41-TREND($B41:$F41,{1,2,3,4,5},3))/ABS(TREND($B41:$F41,{1,2,3,4,5},3))&gt;$B$5&lt;=$B$5,ABS(E41-TREND($B41:$F41,{1,2,3,4,5},4))/ABS(TREND($B41:$F41,{1,2,3,4,5},4))&gt;$B$5&lt;=$B$5,ABS(F41-TREND($B41:$F41,{1,2,3,4,5},5))/ABS(TREND($B41:$F41,{1,2,3,4,5},5))&gt;$B$5&lt;=$B$5),"✓",TRIM(IF(ABS(B41-TREND($B41:$F41,{1,2,3,4,5},1))/ABS(TREND($B41:$F41,{1,2,3,4,5},1))&gt;$B$5,"⚠Y-5 ","")&amp;IF(ABS(C41-TREND($B41:$F41,{1,2,3,4,5},2))/ABS(TREND($B41:$F41,{1,2,3,4,5},2))&gt;$B$5,"⚠Y-4 ","")&amp;IF(ABS(D41-TREND($B41:$F41,{1,2,3,4,5},3))/ABS(TREND($B41:$F41,{1,2,3,4,5},3))&gt;$B$5,"⚠Y-3 ","")&amp;IF(ABS(E41-TREND($B41:$F41,{1,2,3,4,5},4))/ABS(TREND($B41:$F41,{1,2,3,4,5},4))&gt;$B$5,"⚠Y-2 ","")&amp;IF(ABS(F41-TREND($B41:$F41,{1,2,3,4,5},5))/ABS(TREND($B41:$F41,{1,2,3,4,5},5))&gt;$B$5,"⚠Y-1 ","")))</f>
        <v/>
      </c>
      <c r="M41" s="122">
        <f t="shared" si="24"/>
        <v>0.35797665369649806</v>
      </c>
      <c r="N41" s="122">
        <f t="shared" si="25"/>
        <v>0.35380835380835385</v>
      </c>
      <c r="O41" s="122">
        <f t="shared" si="26"/>
        <v>0.34810860988628456</v>
      </c>
      <c r="P41" s="122">
        <f t="shared" si="27"/>
        <v>0.34372590062796077</v>
      </c>
      <c r="Q41" s="122">
        <f t="shared" si="28"/>
        <v>0.33869956094501358</v>
      </c>
      <c r="R41" s="123">
        <f t="shared" si="29"/>
        <v>0.34359092014670189</v>
      </c>
      <c r="S41" s="124" t="str">
        <f t="shared" si="30"/>
        <v>SB</v>
      </c>
      <c r="T41" s="125" t="str">
        <f t="shared" si="31"/>
        <v>SB</v>
      </c>
      <c r="U41" s="153" t="str">
        <f t="shared" si="32"/>
        <v>H1</v>
      </c>
      <c r="V41" s="126">
        <f t="shared" si="33"/>
        <v>6.2071381166159531E-3</v>
      </c>
      <c r="W41" s="127">
        <f t="shared" si="34"/>
        <v>27.16759272914863</v>
      </c>
      <c r="X41" s="128">
        <v>28.2</v>
      </c>
      <c r="Y41" s="129">
        <v>28.5</v>
      </c>
      <c r="Z41" s="130">
        <f t="shared" si="35"/>
        <v>-1.3324072708513697</v>
      </c>
      <c r="AA41" s="131">
        <f t="shared" si="36"/>
        <v>28.050923076923073</v>
      </c>
      <c r="AB41" s="132" t="str">
        <f t="shared" si="37"/>
        <v/>
      </c>
      <c r="AC41" s="133">
        <f t="shared" si="38"/>
        <v>6.2071381166159531E-3</v>
      </c>
      <c r="AD41" s="133">
        <f t="shared" si="39"/>
        <v>5.106356651310302E-3</v>
      </c>
      <c r="AE41" s="133">
        <f t="shared" si="40"/>
        <v>5.106356651310302E-3</v>
      </c>
      <c r="AF41" s="134">
        <f t="shared" si="41"/>
        <v>0.71651172197958468</v>
      </c>
      <c r="AG41" s="135">
        <f>Données!G23</f>
        <v>0</v>
      </c>
      <c r="AH41" s="136">
        <f>Données!H23</f>
        <v>0</v>
      </c>
      <c r="AI41" s="107"/>
      <c r="AJ41" s="154" t="str">
        <f t="shared" si="42"/>
        <v/>
      </c>
      <c r="AK41" s="155" t="str">
        <f t="shared" si="43"/>
        <v/>
      </c>
      <c r="AL41" s="156"/>
      <c r="AM41" s="157"/>
      <c r="AN41" s="107"/>
      <c r="AO41" s="158" t="str">
        <f t="shared" si="44"/>
        <v/>
      </c>
    </row>
    <row r="42" spans="1:41" ht="16.95" customHeight="1" x14ac:dyDescent="0.3">
      <c r="A42" s="110" t="s">
        <v>150</v>
      </c>
      <c r="B42" s="137">
        <f>Données!B24</f>
        <v>18</v>
      </c>
      <c r="C42" s="137">
        <f>Données!C24</f>
        <v>19</v>
      </c>
      <c r="D42" s="137">
        <f>Données!D24</f>
        <v>20</v>
      </c>
      <c r="E42" s="137">
        <f>Données!E24</f>
        <v>40</v>
      </c>
      <c r="F42" s="137">
        <f>Données!F24</f>
        <v>22</v>
      </c>
      <c r="G42" s="137">
        <f>IF(ABS(B42-TREND($B42:$F42,{1,2,3,4,5},1))/ABS(TREND($B42:$F42,{1,2,3,4,5},1))&gt;$B$5,TREND($B42:$F42,{1,2,3,4,5},1),B42)</f>
        <v>18</v>
      </c>
      <c r="H42" s="137">
        <f>IF(ABS(C42-TREND($B42:$F42,{1,2,3,4,5},2))/ABS(TREND($B42:$F42,{1,2,3,4,5},2))&gt;$B$5,TREND($B42:$F42,{1,2,3,4,5},2),C42)</f>
        <v>19</v>
      </c>
      <c r="I42" s="137">
        <f>IF(ABS(D42-TREND($B42:$F42,{1,2,3,4,5},3))/ABS(TREND($B42:$F42,{1,2,3,4,5},3))&gt;$B$5,TREND($B42:$F42,{1,2,3,4,5},3),D42)</f>
        <v>23.8</v>
      </c>
      <c r="J42" s="137">
        <f>IF(ABS(E42-TREND($B42:$F42,{1,2,3,4,5},4))/ABS(TREND($B42:$F42,{1,2,3,4,5},4))&gt;$B$5,TREND($B42:$F42,{1,2,3,4,5},4),E42)</f>
        <v>26.7</v>
      </c>
      <c r="K42" s="137">
        <f>IF(ABS(F42-TREND($B42:$F42,{1,2,3,4,5},5))/ABS(TREND($B42:$F42,{1,2,3,4,5},5))&gt;$B$5,TREND($B42:$F42,{1,2,3,4,5},5),F42)</f>
        <v>29.599999999999998</v>
      </c>
      <c r="L42" s="138" t="str">
        <f>IF(AND(ABS(B42-TREND($B42:$F42,{1,2,3,4,5},1))/ABS(TREND($B42:$F42,{1,2,3,4,5},1))&gt;$B$5&lt;=$B$5,ABS(C42-TREND($B42:$F42,{1,2,3,4,5},2))/ABS(TREND($B42:$F42,{1,2,3,4,5},2))&gt;$B$5&lt;=$B$5,ABS(D42-TREND($B42:$F42,{1,2,3,4,5},3))/ABS(TREND($B42:$F42,{1,2,3,4,5},3))&gt;$B$5&lt;=$B$5,ABS(E42-TREND($B42:$F42,{1,2,3,4,5},4))/ABS(TREND($B42:$F42,{1,2,3,4,5},4))&gt;$B$5&lt;=$B$5,ABS(F42-TREND($B42:$F42,{1,2,3,4,5},5))/ABS(TREND($B42:$F42,{1,2,3,4,5},5))&gt;$B$5&lt;=$B$5),"✓",TRIM(IF(ABS(B42-TREND($B42:$F42,{1,2,3,4,5},1))/ABS(TREND($B42:$F42,{1,2,3,4,5},1))&gt;$B$5,"⚠Y-5 ","")&amp;IF(ABS(C42-TREND($B42:$F42,{1,2,3,4,5},2))/ABS(TREND($B42:$F42,{1,2,3,4,5},2))&gt;$B$5,"⚠Y-4 ","")&amp;IF(ABS(D42-TREND($B42:$F42,{1,2,3,4,5},3))/ABS(TREND($B42:$F42,{1,2,3,4,5},3))&gt;$B$5,"⚠Y-3 ","")&amp;IF(ABS(E42-TREND($B42:$F42,{1,2,3,4,5},4))/ABS(TREND($B42:$F42,{1,2,3,4,5},4))&gt;$B$5,"⚠Y-2 ","")&amp;IF(ABS(F42-TREND($B42:$F42,{1,2,3,4,5},5))/ABS(TREND($B42:$F42,{1,2,3,4,5},5))&gt;$B$5,"⚠Y-1 ","")))</f>
        <v>⚠Y-3 ⚠Y-2 ⚠Y-1</v>
      </c>
      <c r="M42" s="139">
        <f t="shared" si="24"/>
        <v>0.28015564202334631</v>
      </c>
      <c r="N42" s="139">
        <f t="shared" si="25"/>
        <v>0.28009828009828014</v>
      </c>
      <c r="O42" s="139">
        <f t="shared" si="26"/>
        <v>0.33139939661174289</v>
      </c>
      <c r="P42" s="139">
        <f t="shared" si="27"/>
        <v>0.35298005949102124</v>
      </c>
      <c r="Q42" s="139">
        <f t="shared" si="28"/>
        <v>0.37131507422120003</v>
      </c>
      <c r="R42" s="123">
        <f t="shared" si="29"/>
        <v>0.34798106861156103</v>
      </c>
      <c r="S42" s="124" t="str">
        <f t="shared" si="30"/>
        <v>SB</v>
      </c>
      <c r="T42" s="125" t="str">
        <f t="shared" si="31"/>
        <v>SB</v>
      </c>
      <c r="U42" s="153" t="str">
        <f t="shared" si="32"/>
        <v>H1</v>
      </c>
      <c r="V42" s="126">
        <f t="shared" si="33"/>
        <v>6.2071381166159531E-3</v>
      </c>
      <c r="W42" s="127">
        <f t="shared" si="34"/>
        <v>29.783731288251833</v>
      </c>
      <c r="X42" s="140">
        <v>26.3</v>
      </c>
      <c r="Y42" s="141">
        <v>30</v>
      </c>
      <c r="Z42" s="142">
        <f t="shared" si="35"/>
        <v>-0.21626871174816742</v>
      </c>
      <c r="AA42" s="131">
        <f t="shared" si="36"/>
        <v>32.932503698108455</v>
      </c>
      <c r="AB42" s="143" t="str">
        <f t="shared" si="37"/>
        <v/>
      </c>
      <c r="AC42" s="133">
        <f t="shared" si="38"/>
        <v>6.2071381166159531E-3</v>
      </c>
      <c r="AD42" s="133">
        <f t="shared" si="39"/>
        <v>5.106356651310302E-3</v>
      </c>
      <c r="AE42" s="133">
        <f t="shared" si="40"/>
        <v>5.106356651310302E-3</v>
      </c>
      <c r="AF42" s="134">
        <f t="shared" si="41"/>
        <v>0.71651172197958468</v>
      </c>
      <c r="AG42" s="144">
        <f>Données!G24</f>
        <v>0</v>
      </c>
      <c r="AH42" s="145">
        <f>Données!H24</f>
        <v>0</v>
      </c>
      <c r="AI42" s="107"/>
      <c r="AJ42" s="159" t="str">
        <f t="shared" si="42"/>
        <v/>
      </c>
      <c r="AK42" s="160" t="str">
        <f t="shared" si="43"/>
        <v/>
      </c>
      <c r="AL42" s="161" t="str">
        <f t="shared" ref="AL42:AL50" si="45">IF(OR(AJ39="",AJ40="",AJ41=""),"",IF(AND(SIGN(AJ39)=SIGN(AJ40),SIGN(AJ40)=SIGN(AJ41),ABS(AJ39)&gt;$B$16,ABS(AJ40)&gt;$B$16,ABS(AJ41)&gt;$B$16),"⚠ Ajuster ce mois de "&amp;TEXT(AVERAGE(AJ39:AJ41),"+0.0%;-0.0%")&amp;" (biais 3 mois précédents)",""))</f>
        <v/>
      </c>
      <c r="AM42" s="162" t="str">
        <f t="shared" ref="AM42:AM50" si="46">IF(OR(AK39="",AK40="",AK41=""),"",IF(AND(SIGN(AK39)=SIGN(AK40),SIGN(AK40)=SIGN(AK41),ABS(AK39)&gt;$B$16,ABS(AK40)&gt;$B$16,ABS(AK41)&gt;$B$16),"⚠ Ajuster ce mois de "&amp;TEXT(AVERAGE(AK39:AK41),"+0.0%;-0.0%")&amp;" (biais 3 mois précédents)",""))</f>
        <v/>
      </c>
      <c r="AN42" s="107"/>
      <c r="AO42" s="163" t="str">
        <f t="shared" si="44"/>
        <v/>
      </c>
    </row>
    <row r="43" spans="1:41" ht="16.95" customHeight="1" x14ac:dyDescent="0.3">
      <c r="A43" s="106" t="s">
        <v>151</v>
      </c>
      <c r="B43" s="120">
        <f>Données!B25</f>
        <v>16</v>
      </c>
      <c r="C43" s="120">
        <f>Données!C25</f>
        <v>17</v>
      </c>
      <c r="D43" s="120">
        <f>Données!D25</f>
        <v>18</v>
      </c>
      <c r="E43" s="120">
        <f>Données!E25</f>
        <v>19</v>
      </c>
      <c r="F43" s="120">
        <f>Données!F25</f>
        <v>20</v>
      </c>
      <c r="G43" s="120">
        <f>IF(ABS(B43-TREND($B43:$F43,{1,2,3,4,5},1))/ABS(TREND($B43:$F43,{1,2,3,4,5},1))&gt;$B$5,TREND($B43:$F43,{1,2,3,4,5},1),B43)</f>
        <v>16</v>
      </c>
      <c r="H43" s="120">
        <f>IF(ABS(C43-TREND($B43:$F43,{1,2,3,4,5},2))/ABS(TREND($B43:$F43,{1,2,3,4,5},2))&gt;$B$5,TREND($B43:$F43,{1,2,3,4,5},2),C43)</f>
        <v>17</v>
      </c>
      <c r="I43" s="120">
        <f>IF(ABS(D43-TREND($B43:$F43,{1,2,3,4,5},3))/ABS(TREND($B43:$F43,{1,2,3,4,5},3))&gt;$B$5,TREND($B43:$F43,{1,2,3,4,5},3),D43)</f>
        <v>18</v>
      </c>
      <c r="J43" s="120">
        <f>IF(ABS(E43-TREND($B43:$F43,{1,2,3,4,5},4))/ABS(TREND($B43:$F43,{1,2,3,4,5},4))&gt;$B$5,TREND($B43:$F43,{1,2,3,4,5},4),E43)</f>
        <v>19</v>
      </c>
      <c r="K43" s="120">
        <f>IF(ABS(F43-TREND($B43:$F43,{1,2,3,4,5},5))/ABS(TREND($B43:$F43,{1,2,3,4,5},5))&gt;$B$5,TREND($B43:$F43,{1,2,3,4,5},5),F43)</f>
        <v>20</v>
      </c>
      <c r="L43" s="121" t="str">
        <f>IF(AND(ABS(B43-TREND($B43:$F43,{1,2,3,4,5},1))/ABS(TREND($B43:$F43,{1,2,3,4,5},1))&gt;$B$5&lt;=$B$5,ABS(C43-TREND($B43:$F43,{1,2,3,4,5},2))/ABS(TREND($B43:$F43,{1,2,3,4,5},2))&gt;$B$5&lt;=$B$5,ABS(D43-TREND($B43:$F43,{1,2,3,4,5},3))/ABS(TREND($B43:$F43,{1,2,3,4,5},3))&gt;$B$5&lt;=$B$5,ABS(E43-TREND($B43:$F43,{1,2,3,4,5},4))/ABS(TREND($B43:$F43,{1,2,3,4,5},4))&gt;$B$5&lt;=$B$5,ABS(F43-TREND($B43:$F43,{1,2,3,4,5},5))/ABS(TREND($B43:$F43,{1,2,3,4,5},5))&gt;$B$5&lt;=$B$5),"✓",TRIM(IF(ABS(B43-TREND($B43:$F43,{1,2,3,4,5},1))/ABS(TREND($B43:$F43,{1,2,3,4,5},1))&gt;$B$5,"⚠Y-5 ","")&amp;IF(ABS(C43-TREND($B43:$F43,{1,2,3,4,5},2))/ABS(TREND($B43:$F43,{1,2,3,4,5},2))&gt;$B$5,"⚠Y-4 ","")&amp;IF(ABS(D43-TREND($B43:$F43,{1,2,3,4,5},3))/ABS(TREND($B43:$F43,{1,2,3,4,5},3))&gt;$B$5,"⚠Y-3 ","")&amp;IF(ABS(E43-TREND($B43:$F43,{1,2,3,4,5},4))/ABS(TREND($B43:$F43,{1,2,3,4,5},4))&gt;$B$5,"⚠Y-2 ","")&amp;IF(ABS(F43-TREND($B43:$F43,{1,2,3,4,5},5))/ABS(TREND($B43:$F43,{1,2,3,4,5},5))&gt;$B$5,"⚠Y-1 ","")))</f>
        <v/>
      </c>
      <c r="M43" s="122">
        <f t="shared" si="24"/>
        <v>0.24902723735408561</v>
      </c>
      <c r="N43" s="122">
        <f t="shared" si="25"/>
        <v>0.25061425061425063</v>
      </c>
      <c r="O43" s="122">
        <f t="shared" si="26"/>
        <v>0.25063819911812485</v>
      </c>
      <c r="P43" s="122">
        <f t="shared" si="27"/>
        <v>0.25118431199735597</v>
      </c>
      <c r="Q43" s="122">
        <f t="shared" si="28"/>
        <v>0.25088856366297302</v>
      </c>
      <c r="R43" s="123">
        <f t="shared" si="29"/>
        <v>0.25078966102780575</v>
      </c>
      <c r="S43" s="124" t="str">
        <f t="shared" si="30"/>
        <v>SB</v>
      </c>
      <c r="T43" s="125" t="str">
        <f t="shared" si="31"/>
        <v>SB</v>
      </c>
      <c r="U43" s="153" t="str">
        <f t="shared" si="32"/>
        <v>H1</v>
      </c>
      <c r="V43" s="126">
        <f t="shared" si="33"/>
        <v>6.2071381166159531E-3</v>
      </c>
      <c r="W43" s="127">
        <f t="shared" si="34"/>
        <v>20.124142762332319</v>
      </c>
      <c r="X43" s="128">
        <v>21</v>
      </c>
      <c r="Y43" s="129">
        <v>20.9</v>
      </c>
      <c r="Z43" s="130">
        <f t="shared" si="35"/>
        <v>-0.77585723766767956</v>
      </c>
      <c r="AA43" s="131">
        <f t="shared" si="36"/>
        <v>21.070175438596493</v>
      </c>
      <c r="AB43" s="132" t="str">
        <f t="shared" si="37"/>
        <v/>
      </c>
      <c r="AC43" s="133">
        <f t="shared" si="38"/>
        <v>6.2071381166159531E-3</v>
      </c>
      <c r="AD43" s="133">
        <f t="shared" si="39"/>
        <v>5.106356651310302E-3</v>
      </c>
      <c r="AE43" s="133">
        <f t="shared" si="40"/>
        <v>5.106356651310302E-3</v>
      </c>
      <c r="AF43" s="134">
        <f t="shared" si="41"/>
        <v>0.71651172197958468</v>
      </c>
      <c r="AG43" s="135">
        <f>Données!G25</f>
        <v>0</v>
      </c>
      <c r="AH43" s="136">
        <f>Données!H25</f>
        <v>0</v>
      </c>
      <c r="AI43" s="107"/>
      <c r="AJ43" s="154" t="str">
        <f t="shared" si="42"/>
        <v/>
      </c>
      <c r="AK43" s="155" t="str">
        <f t="shared" si="43"/>
        <v/>
      </c>
      <c r="AL43" s="156" t="str">
        <f t="shared" si="45"/>
        <v/>
      </c>
      <c r="AM43" s="157" t="str">
        <f t="shared" si="46"/>
        <v/>
      </c>
      <c r="AN43" s="107"/>
      <c r="AO43" s="158" t="str">
        <f t="shared" si="44"/>
        <v/>
      </c>
    </row>
    <row r="44" spans="1:41" ht="16.95" customHeight="1" x14ac:dyDescent="0.3">
      <c r="A44" s="110" t="s">
        <v>152</v>
      </c>
      <c r="B44" s="137">
        <f>Données!B26</f>
        <v>13</v>
      </c>
      <c r="C44" s="137">
        <f>Données!C26</f>
        <v>14</v>
      </c>
      <c r="D44" s="137">
        <f>Données!D26</f>
        <v>15</v>
      </c>
      <c r="E44" s="137">
        <f>Données!E26</f>
        <v>16</v>
      </c>
      <c r="F44" s="137">
        <f>Données!F26</f>
        <v>17</v>
      </c>
      <c r="G44" s="137">
        <f>IF(ABS(B44-TREND($B44:$F44,{1,2,3,4,5},1))/ABS(TREND($B44:$F44,{1,2,3,4,5},1))&gt;$B$5,TREND($B44:$F44,{1,2,3,4,5},1),B44)</f>
        <v>13</v>
      </c>
      <c r="H44" s="137">
        <f>IF(ABS(C44-TREND($B44:$F44,{1,2,3,4,5},2))/ABS(TREND($B44:$F44,{1,2,3,4,5},2))&gt;$B$5,TREND($B44:$F44,{1,2,3,4,5},2),C44)</f>
        <v>14</v>
      </c>
      <c r="I44" s="137">
        <f>IF(ABS(D44-TREND($B44:$F44,{1,2,3,4,5},3))/ABS(TREND($B44:$F44,{1,2,3,4,5},3))&gt;$B$5,TREND($B44:$F44,{1,2,3,4,5},3),D44)</f>
        <v>15</v>
      </c>
      <c r="J44" s="137">
        <f>IF(ABS(E44-TREND($B44:$F44,{1,2,3,4,5},4))/ABS(TREND($B44:$F44,{1,2,3,4,5},4))&gt;$B$5,TREND($B44:$F44,{1,2,3,4,5},4),E44)</f>
        <v>16</v>
      </c>
      <c r="K44" s="137">
        <f>IF(ABS(F44-TREND($B44:$F44,{1,2,3,4,5},5))/ABS(TREND($B44:$F44,{1,2,3,4,5},5))&gt;$B$5,TREND($B44:$F44,{1,2,3,4,5},5),F44)</f>
        <v>17</v>
      </c>
      <c r="L44" s="138" t="str">
        <f>IF(AND(ABS(B44-TREND($B44:$F44,{1,2,3,4,5},1))/ABS(TREND($B44:$F44,{1,2,3,4,5},1))&gt;$B$5&lt;=$B$5,ABS(C44-TREND($B44:$F44,{1,2,3,4,5},2))/ABS(TREND($B44:$F44,{1,2,3,4,5},2))&gt;$B$5&lt;=$B$5,ABS(D44-TREND($B44:$F44,{1,2,3,4,5},3))/ABS(TREND($B44:$F44,{1,2,3,4,5},3))&gt;$B$5&lt;=$B$5,ABS(E44-TREND($B44:$F44,{1,2,3,4,5},4))/ABS(TREND($B44:$F44,{1,2,3,4,5},4))&gt;$B$5&lt;=$B$5,ABS(F44-TREND($B44:$F44,{1,2,3,4,5},5))/ABS(TREND($B44:$F44,{1,2,3,4,5},5))&gt;$B$5&lt;=$B$5),"✓",TRIM(IF(ABS(B44-TREND($B44:$F44,{1,2,3,4,5},1))/ABS(TREND($B44:$F44,{1,2,3,4,5},1))&gt;$B$5,"⚠Y-5 ","")&amp;IF(ABS(C44-TREND($B44:$F44,{1,2,3,4,5},2))/ABS(TREND($B44:$F44,{1,2,3,4,5},2))&gt;$B$5,"⚠Y-4 ","")&amp;IF(ABS(D44-TREND($B44:$F44,{1,2,3,4,5},3))/ABS(TREND($B44:$F44,{1,2,3,4,5},3))&gt;$B$5,"⚠Y-3 ","")&amp;IF(ABS(E44-TREND($B44:$F44,{1,2,3,4,5},4))/ABS(TREND($B44:$F44,{1,2,3,4,5},4))&gt;$B$5,"⚠Y-2 ","")&amp;IF(ABS(F44-TREND($B44:$F44,{1,2,3,4,5},5))/ABS(TREND($B44:$F44,{1,2,3,4,5},5))&gt;$B$5,"⚠Y-1 ","")))</f>
        <v/>
      </c>
      <c r="M44" s="139">
        <f t="shared" si="24"/>
        <v>0.20233463035019456</v>
      </c>
      <c r="N44" s="139">
        <f t="shared" si="25"/>
        <v>0.2063882063882064</v>
      </c>
      <c r="O44" s="139">
        <f t="shared" si="26"/>
        <v>0.20886516593177074</v>
      </c>
      <c r="P44" s="139">
        <f t="shared" si="27"/>
        <v>0.21152363115566816</v>
      </c>
      <c r="Q44" s="139">
        <f t="shared" si="28"/>
        <v>0.21325527911352707</v>
      </c>
      <c r="R44" s="123">
        <f t="shared" si="29"/>
        <v>0.21101769283399313</v>
      </c>
      <c r="S44" s="124" t="str">
        <f t="shared" si="30"/>
        <v>SB</v>
      </c>
      <c r="T44" s="125" t="str">
        <f t="shared" si="31"/>
        <v>SB</v>
      </c>
      <c r="U44" s="153" t="str">
        <f t="shared" si="32"/>
        <v>H1</v>
      </c>
      <c r="V44" s="126">
        <f t="shared" si="33"/>
        <v>6.2071381166159531E-3</v>
      </c>
      <c r="W44" s="127">
        <f t="shared" si="34"/>
        <v>18.81607348278072</v>
      </c>
      <c r="X44" s="140">
        <v>19.8</v>
      </c>
      <c r="Y44" s="141">
        <v>19.5</v>
      </c>
      <c r="Z44" s="142">
        <f t="shared" si="35"/>
        <v>-0.68392651721928033</v>
      </c>
      <c r="AA44" s="131">
        <f t="shared" si="36"/>
        <v>19.892125</v>
      </c>
      <c r="AB44" s="143" t="str">
        <f t="shared" si="37"/>
        <v/>
      </c>
      <c r="AC44" s="133">
        <f t="shared" si="38"/>
        <v>6.2071381166159531E-3</v>
      </c>
      <c r="AD44" s="133">
        <f t="shared" si="39"/>
        <v>5.106356651310302E-3</v>
      </c>
      <c r="AE44" s="133">
        <f t="shared" si="40"/>
        <v>5.106356651310302E-3</v>
      </c>
      <c r="AF44" s="134">
        <f t="shared" si="41"/>
        <v>0.71651172197958468</v>
      </c>
      <c r="AG44" s="144">
        <f>Données!G26</f>
        <v>1</v>
      </c>
      <c r="AH44" s="145">
        <f>Données!H26</f>
        <v>0.1</v>
      </c>
      <c r="AI44" s="107"/>
      <c r="AJ44" s="159" t="str">
        <f t="shared" si="42"/>
        <v/>
      </c>
      <c r="AK44" s="160" t="str">
        <f t="shared" si="43"/>
        <v/>
      </c>
      <c r="AL44" s="161" t="str">
        <f t="shared" si="45"/>
        <v/>
      </c>
      <c r="AM44" s="162" t="str">
        <f t="shared" si="46"/>
        <v/>
      </c>
      <c r="AN44" s="107"/>
      <c r="AO44" s="163" t="str">
        <f t="shared" si="44"/>
        <v/>
      </c>
    </row>
    <row r="45" spans="1:41" ht="16.95" customHeight="1" x14ac:dyDescent="0.3">
      <c r="A45" s="106" t="s">
        <v>153</v>
      </c>
      <c r="B45" s="120">
        <f>Données!B27</f>
        <v>13</v>
      </c>
      <c r="C45" s="120">
        <f>Données!C27</f>
        <v>14</v>
      </c>
      <c r="D45" s="120">
        <f>Données!D27</f>
        <v>15</v>
      </c>
      <c r="E45" s="120">
        <f>Données!E27</f>
        <v>16</v>
      </c>
      <c r="F45" s="120">
        <f>Données!F27</f>
        <v>17</v>
      </c>
      <c r="G45" s="120">
        <f>IF(ABS(B45-TREND($B45:$F45,{1,2,3,4,5},1))/ABS(TREND($B45:$F45,{1,2,3,4,5},1))&gt;$B$5,TREND($B45:$F45,{1,2,3,4,5},1),B45)</f>
        <v>13</v>
      </c>
      <c r="H45" s="120">
        <f>IF(ABS(C45-TREND($B45:$F45,{1,2,3,4,5},2))/ABS(TREND($B45:$F45,{1,2,3,4,5},2))&gt;$B$5,TREND($B45:$F45,{1,2,3,4,5},2),C45)</f>
        <v>14</v>
      </c>
      <c r="I45" s="120">
        <f>IF(ABS(D45-TREND($B45:$F45,{1,2,3,4,5},3))/ABS(TREND($B45:$F45,{1,2,3,4,5},3))&gt;$B$5,TREND($B45:$F45,{1,2,3,4,5},3),D45)</f>
        <v>15</v>
      </c>
      <c r="J45" s="120">
        <f>IF(ABS(E45-TREND($B45:$F45,{1,2,3,4,5},4))/ABS(TREND($B45:$F45,{1,2,3,4,5},4))&gt;$B$5,TREND($B45:$F45,{1,2,3,4,5},4),E45)</f>
        <v>16</v>
      </c>
      <c r="K45" s="120">
        <f>IF(ABS(F45-TREND($B45:$F45,{1,2,3,4,5},5))/ABS(TREND($B45:$F45,{1,2,3,4,5},5))&gt;$B$5,TREND($B45:$F45,{1,2,3,4,5},5),F45)</f>
        <v>17</v>
      </c>
      <c r="L45" s="121" t="str">
        <f>IF(AND(ABS(B45-TREND($B45:$F45,{1,2,3,4,5},1))/ABS(TREND($B45:$F45,{1,2,3,4,5},1))&gt;$B$5&lt;=$B$5,ABS(C45-TREND($B45:$F45,{1,2,3,4,5},2))/ABS(TREND($B45:$F45,{1,2,3,4,5},2))&gt;$B$5&lt;=$B$5,ABS(D45-TREND($B45:$F45,{1,2,3,4,5},3))/ABS(TREND($B45:$F45,{1,2,3,4,5},3))&gt;$B$5&lt;=$B$5,ABS(E45-TREND($B45:$F45,{1,2,3,4,5},4))/ABS(TREND($B45:$F45,{1,2,3,4,5},4))&gt;$B$5&lt;=$B$5,ABS(F45-TREND($B45:$F45,{1,2,3,4,5},5))/ABS(TREND($B45:$F45,{1,2,3,4,5},5))&gt;$B$5&lt;=$B$5),"✓",TRIM(IF(ABS(B45-TREND($B45:$F45,{1,2,3,4,5},1))/ABS(TREND($B45:$F45,{1,2,3,4,5},1))&gt;$B$5,"⚠Y-5 ","")&amp;IF(ABS(C45-TREND($B45:$F45,{1,2,3,4,5},2))/ABS(TREND($B45:$F45,{1,2,3,4,5},2))&gt;$B$5,"⚠Y-4 ","")&amp;IF(ABS(D45-TREND($B45:$F45,{1,2,3,4,5},3))/ABS(TREND($B45:$F45,{1,2,3,4,5},3))&gt;$B$5,"⚠Y-3 ","")&amp;IF(ABS(E45-TREND($B45:$F45,{1,2,3,4,5},4))/ABS(TREND($B45:$F45,{1,2,3,4,5},4))&gt;$B$5,"⚠Y-2 ","")&amp;IF(ABS(F45-TREND($B45:$F45,{1,2,3,4,5},5))/ABS(TREND($B45:$F45,{1,2,3,4,5},5))&gt;$B$5,"⚠Y-1 ","")))</f>
        <v/>
      </c>
      <c r="M45" s="122">
        <f t="shared" si="24"/>
        <v>0.20233463035019456</v>
      </c>
      <c r="N45" s="122">
        <f t="shared" si="25"/>
        <v>0.2063882063882064</v>
      </c>
      <c r="O45" s="122">
        <f t="shared" si="26"/>
        <v>0.20886516593177074</v>
      </c>
      <c r="P45" s="122">
        <f t="shared" si="27"/>
        <v>0.21152363115566816</v>
      </c>
      <c r="Q45" s="122">
        <f t="shared" si="28"/>
        <v>0.21325527911352707</v>
      </c>
      <c r="R45" s="123">
        <f t="shared" si="29"/>
        <v>0.21101769283399313</v>
      </c>
      <c r="S45" s="124" t="str">
        <f t="shared" si="30"/>
        <v>SB</v>
      </c>
      <c r="T45" s="125" t="str">
        <f t="shared" si="31"/>
        <v>SB</v>
      </c>
      <c r="U45" s="153" t="str">
        <f t="shared" si="32"/>
        <v>H1</v>
      </c>
      <c r="V45" s="126">
        <f t="shared" si="33"/>
        <v>6.2071381166159531E-3</v>
      </c>
      <c r="W45" s="127">
        <f t="shared" si="34"/>
        <v>17.105521347982471</v>
      </c>
      <c r="X45" s="128">
        <v>18</v>
      </c>
      <c r="Y45" s="129">
        <v>17.7</v>
      </c>
      <c r="Z45" s="130">
        <f t="shared" si="35"/>
        <v>-0.59447865201752847</v>
      </c>
      <c r="AA45" s="131">
        <f t="shared" si="36"/>
        <v>18.083749999999998</v>
      </c>
      <c r="AB45" s="132" t="str">
        <f t="shared" si="37"/>
        <v/>
      </c>
      <c r="AC45" s="133">
        <f t="shared" si="38"/>
        <v>6.2071381166159531E-3</v>
      </c>
      <c r="AD45" s="133">
        <f t="shared" si="39"/>
        <v>5.106356651310302E-3</v>
      </c>
      <c r="AE45" s="133">
        <f t="shared" si="40"/>
        <v>5.106356651310302E-3</v>
      </c>
      <c r="AF45" s="134">
        <f t="shared" si="41"/>
        <v>0.71651172197958468</v>
      </c>
      <c r="AG45" s="135">
        <f>Données!G27</f>
        <v>0</v>
      </c>
      <c r="AH45" s="136">
        <f>Données!H27</f>
        <v>0</v>
      </c>
      <c r="AI45" s="107"/>
      <c r="AJ45" s="154" t="str">
        <f t="shared" si="42"/>
        <v/>
      </c>
      <c r="AK45" s="155" t="str">
        <f t="shared" si="43"/>
        <v/>
      </c>
      <c r="AL45" s="156" t="str">
        <f t="shared" si="45"/>
        <v/>
      </c>
      <c r="AM45" s="157" t="str">
        <f t="shared" si="46"/>
        <v/>
      </c>
      <c r="AN45" s="107"/>
      <c r="AO45" s="158" t="str">
        <f t="shared" si="44"/>
        <v/>
      </c>
    </row>
    <row r="46" spans="1:41" ht="16.95" customHeight="1" x14ac:dyDescent="0.3">
      <c r="A46" s="110" t="s">
        <v>154</v>
      </c>
      <c r="B46" s="137">
        <f>Données!B28</f>
        <v>18</v>
      </c>
      <c r="C46" s="137">
        <f>Données!C28</f>
        <v>19</v>
      </c>
      <c r="D46" s="137">
        <f>Données!D28</f>
        <v>20</v>
      </c>
      <c r="E46" s="137">
        <f>Données!E28</f>
        <v>21</v>
      </c>
      <c r="F46" s="137">
        <f>Données!F28</f>
        <v>22</v>
      </c>
      <c r="G46" s="137">
        <f>IF(ABS(B46-TREND($B46:$F46,{1,2,3,4,5},1))/ABS(TREND($B46:$F46,{1,2,3,4,5},1))&gt;$B$5,TREND($B46:$F46,{1,2,3,4,5},1),B46)</f>
        <v>18</v>
      </c>
      <c r="H46" s="137">
        <f>IF(ABS(C46-TREND($B46:$F46,{1,2,3,4,5},2))/ABS(TREND($B46:$F46,{1,2,3,4,5},2))&gt;$B$5,TREND($B46:$F46,{1,2,3,4,5},2),C46)</f>
        <v>19</v>
      </c>
      <c r="I46" s="137">
        <f>IF(ABS(D46-TREND($B46:$F46,{1,2,3,4,5},3))/ABS(TREND($B46:$F46,{1,2,3,4,5},3))&gt;$B$5,TREND($B46:$F46,{1,2,3,4,5},3),D46)</f>
        <v>20</v>
      </c>
      <c r="J46" s="137">
        <f>IF(ABS(E46-TREND($B46:$F46,{1,2,3,4,5},4))/ABS(TREND($B46:$F46,{1,2,3,4,5},4))&gt;$B$5,TREND($B46:$F46,{1,2,3,4,5},4),E46)</f>
        <v>21</v>
      </c>
      <c r="K46" s="137">
        <f>IF(ABS(F46-TREND($B46:$F46,{1,2,3,4,5},5))/ABS(TREND($B46:$F46,{1,2,3,4,5},5))&gt;$B$5,TREND($B46:$F46,{1,2,3,4,5},5),F46)</f>
        <v>22</v>
      </c>
      <c r="L46" s="138" t="str">
        <f>IF(AND(ABS(B46-TREND($B46:$F46,{1,2,3,4,5},1))/ABS(TREND($B46:$F46,{1,2,3,4,5},1))&gt;$B$5&lt;=$B$5,ABS(C46-TREND($B46:$F46,{1,2,3,4,5},2))/ABS(TREND($B46:$F46,{1,2,3,4,5},2))&gt;$B$5&lt;=$B$5,ABS(D46-TREND($B46:$F46,{1,2,3,4,5},3))/ABS(TREND($B46:$F46,{1,2,3,4,5},3))&gt;$B$5&lt;=$B$5,ABS(E46-TREND($B46:$F46,{1,2,3,4,5},4))/ABS(TREND($B46:$F46,{1,2,3,4,5},4))&gt;$B$5&lt;=$B$5,ABS(F46-TREND($B46:$F46,{1,2,3,4,5},5))/ABS(TREND($B46:$F46,{1,2,3,4,5},5))&gt;$B$5&lt;=$B$5),"✓",TRIM(IF(ABS(B46-TREND($B46:$F46,{1,2,3,4,5},1))/ABS(TREND($B46:$F46,{1,2,3,4,5},1))&gt;$B$5,"⚠Y-5 ","")&amp;IF(ABS(C46-TREND($B46:$F46,{1,2,3,4,5},2))/ABS(TREND($B46:$F46,{1,2,3,4,5},2))&gt;$B$5,"⚠Y-4 ","")&amp;IF(ABS(D46-TREND($B46:$F46,{1,2,3,4,5},3))/ABS(TREND($B46:$F46,{1,2,3,4,5},3))&gt;$B$5,"⚠Y-3 ","")&amp;IF(ABS(E46-TREND($B46:$F46,{1,2,3,4,5},4))/ABS(TREND($B46:$F46,{1,2,3,4,5},4))&gt;$B$5,"⚠Y-2 ","")&amp;IF(ABS(F46-TREND($B46:$F46,{1,2,3,4,5},5))/ABS(TREND($B46:$F46,{1,2,3,4,5},5))&gt;$B$5,"⚠Y-1 ","")))</f>
        <v/>
      </c>
      <c r="M46" s="139">
        <f t="shared" si="24"/>
        <v>0.28015564202334631</v>
      </c>
      <c r="N46" s="139">
        <f t="shared" si="25"/>
        <v>0.28009828009828014</v>
      </c>
      <c r="O46" s="139">
        <f t="shared" si="26"/>
        <v>0.27848688790902765</v>
      </c>
      <c r="P46" s="139">
        <f t="shared" si="27"/>
        <v>0.27762476589181451</v>
      </c>
      <c r="Q46" s="139">
        <f t="shared" si="28"/>
        <v>0.27597742002927034</v>
      </c>
      <c r="R46" s="123">
        <f t="shared" si="29"/>
        <v>0.27730430649034754</v>
      </c>
      <c r="S46" s="124" t="str">
        <f t="shared" si="30"/>
        <v>SB</v>
      </c>
      <c r="T46" s="125" t="str">
        <f t="shared" si="31"/>
        <v>SB</v>
      </c>
      <c r="U46" s="153" t="str">
        <f t="shared" si="32"/>
        <v>H1</v>
      </c>
      <c r="V46" s="126">
        <f t="shared" si="33"/>
        <v>6.2071381166159531E-3</v>
      </c>
      <c r="W46" s="127">
        <f t="shared" si="34"/>
        <v>22.136557038565552</v>
      </c>
      <c r="X46" s="140">
        <v>23.1</v>
      </c>
      <c r="Y46" s="141">
        <v>23.1</v>
      </c>
      <c r="Z46" s="142">
        <f t="shared" si="35"/>
        <v>-0.96344296143444907</v>
      </c>
      <c r="AA46" s="131">
        <f t="shared" si="36"/>
        <v>23.063333333333333</v>
      </c>
      <c r="AB46" s="143" t="str">
        <f t="shared" si="37"/>
        <v/>
      </c>
      <c r="AC46" s="133">
        <f t="shared" si="38"/>
        <v>6.2071381166159531E-3</v>
      </c>
      <c r="AD46" s="133">
        <f t="shared" si="39"/>
        <v>5.106356651310302E-3</v>
      </c>
      <c r="AE46" s="133">
        <f t="shared" si="40"/>
        <v>5.106356651310302E-3</v>
      </c>
      <c r="AF46" s="134">
        <f t="shared" si="41"/>
        <v>0.71651172197958468</v>
      </c>
      <c r="AG46" s="144">
        <f>Données!G28</f>
        <v>0</v>
      </c>
      <c r="AH46" s="145">
        <f>Données!H28</f>
        <v>0</v>
      </c>
      <c r="AI46" s="107"/>
      <c r="AJ46" s="159" t="str">
        <f t="shared" si="42"/>
        <v/>
      </c>
      <c r="AK46" s="160" t="str">
        <f t="shared" si="43"/>
        <v/>
      </c>
      <c r="AL46" s="161" t="str">
        <f t="shared" si="45"/>
        <v/>
      </c>
      <c r="AM46" s="162" t="str">
        <f t="shared" si="46"/>
        <v/>
      </c>
      <c r="AN46" s="107"/>
      <c r="AO46" s="163" t="str">
        <f t="shared" si="44"/>
        <v/>
      </c>
    </row>
    <row r="47" spans="1:41" ht="16.95" customHeight="1" x14ac:dyDescent="0.3">
      <c r="A47" s="106" t="s">
        <v>155</v>
      </c>
      <c r="B47" s="120">
        <f>Données!B29</f>
        <v>41</v>
      </c>
      <c r="C47" s="120">
        <f>Données!C29</f>
        <v>43</v>
      </c>
      <c r="D47" s="120">
        <f>Données!D29</f>
        <v>45</v>
      </c>
      <c r="E47" s="120">
        <f>Données!E29</f>
        <v>47</v>
      </c>
      <c r="F47" s="120">
        <f>Données!F29</f>
        <v>50</v>
      </c>
      <c r="G47" s="120">
        <f>IF(ABS(B47-TREND($B47:$F47,{1,2,3,4,5},1))/ABS(TREND($B47:$F47,{1,2,3,4,5},1))&gt;$B$5,TREND($B47:$F47,{1,2,3,4,5},1),B47)</f>
        <v>41</v>
      </c>
      <c r="H47" s="120">
        <f>IF(ABS(C47-TREND($B47:$F47,{1,2,3,4,5},2))/ABS(TREND($B47:$F47,{1,2,3,4,5},2))&gt;$B$5,TREND($B47:$F47,{1,2,3,4,5},2),C47)</f>
        <v>43</v>
      </c>
      <c r="I47" s="120">
        <f>IF(ABS(D47-TREND($B47:$F47,{1,2,3,4,5},3))/ABS(TREND($B47:$F47,{1,2,3,4,5},3))&gt;$B$5,TREND($B47:$F47,{1,2,3,4,5},3),D47)</f>
        <v>45</v>
      </c>
      <c r="J47" s="120">
        <f>IF(ABS(E47-TREND($B47:$F47,{1,2,3,4,5},4))/ABS(TREND($B47:$F47,{1,2,3,4,5},4))&gt;$B$5,TREND($B47:$F47,{1,2,3,4,5},4),E47)</f>
        <v>47</v>
      </c>
      <c r="K47" s="120">
        <f>IF(ABS(F47-TREND($B47:$F47,{1,2,3,4,5},5))/ABS(TREND($B47:$F47,{1,2,3,4,5},5))&gt;$B$5,TREND($B47:$F47,{1,2,3,4,5},5),F47)</f>
        <v>50</v>
      </c>
      <c r="L47" s="121" t="str">
        <f>IF(AND(ABS(B47-TREND($B47:$F47,{1,2,3,4,5},1))/ABS(TREND($B47:$F47,{1,2,3,4,5},1))&gt;$B$5&lt;=$B$5,ABS(C47-TREND($B47:$F47,{1,2,3,4,5},2))/ABS(TREND($B47:$F47,{1,2,3,4,5},2))&gt;$B$5&lt;=$B$5,ABS(D47-TREND($B47:$F47,{1,2,3,4,5},3))/ABS(TREND($B47:$F47,{1,2,3,4,5},3))&gt;$B$5&lt;=$B$5,ABS(E47-TREND($B47:$F47,{1,2,3,4,5},4))/ABS(TREND($B47:$F47,{1,2,3,4,5},4))&gt;$B$5&lt;=$B$5,ABS(F47-TREND($B47:$F47,{1,2,3,4,5},5))/ABS(TREND($B47:$F47,{1,2,3,4,5},5))&gt;$B$5&lt;=$B$5),"✓",TRIM(IF(ABS(B47-TREND($B47:$F47,{1,2,3,4,5},1))/ABS(TREND($B47:$F47,{1,2,3,4,5},1))&gt;$B$5,"⚠Y-5 ","")&amp;IF(ABS(C47-TREND($B47:$F47,{1,2,3,4,5},2))/ABS(TREND($B47:$F47,{1,2,3,4,5},2))&gt;$B$5,"⚠Y-4 ","")&amp;IF(ABS(D47-TREND($B47:$F47,{1,2,3,4,5},3))/ABS(TREND($B47:$F47,{1,2,3,4,5},3))&gt;$B$5,"⚠Y-3 ","")&amp;IF(ABS(E47-TREND($B47:$F47,{1,2,3,4,5},4))/ABS(TREND($B47:$F47,{1,2,3,4,5},4))&gt;$B$5,"⚠Y-2 ","")&amp;IF(ABS(F47-TREND($B47:$F47,{1,2,3,4,5},5))/ABS(TREND($B47:$F47,{1,2,3,4,5},5))&gt;$B$5,"⚠Y-1 ","")))</f>
        <v/>
      </c>
      <c r="M47" s="122">
        <f t="shared" si="24"/>
        <v>0.63813229571984431</v>
      </c>
      <c r="N47" s="122">
        <f t="shared" si="25"/>
        <v>0.63390663390663393</v>
      </c>
      <c r="O47" s="122">
        <f t="shared" si="26"/>
        <v>0.62659549779531221</v>
      </c>
      <c r="P47" s="122">
        <f t="shared" si="27"/>
        <v>0.62135066651977522</v>
      </c>
      <c r="Q47" s="122">
        <f t="shared" si="28"/>
        <v>0.62722140915743252</v>
      </c>
      <c r="R47" s="123">
        <f t="shared" si="29"/>
        <v>0.62716744072862374</v>
      </c>
      <c r="S47" s="124" t="str">
        <f t="shared" si="30"/>
        <v>SB</v>
      </c>
      <c r="T47" s="125" t="str">
        <f t="shared" si="31"/>
        <v>SB</v>
      </c>
      <c r="U47" s="153" t="str">
        <f t="shared" si="32"/>
        <v>H1</v>
      </c>
      <c r="V47" s="126">
        <f t="shared" si="33"/>
        <v>6.2071381166159531E-3</v>
      </c>
      <c r="W47" s="127">
        <f t="shared" si="34"/>
        <v>50.310356905830801</v>
      </c>
      <c r="X47" s="128">
        <v>52.5</v>
      </c>
      <c r="Y47" s="129">
        <v>52.1</v>
      </c>
      <c r="Z47" s="130">
        <f t="shared" si="35"/>
        <v>-1.7896430941692003</v>
      </c>
      <c r="AA47" s="131">
        <f t="shared" si="36"/>
        <v>52.900709219858157</v>
      </c>
      <c r="AB47" s="132" t="str">
        <f t="shared" si="37"/>
        <v/>
      </c>
      <c r="AC47" s="133">
        <f t="shared" si="38"/>
        <v>6.2071381166159531E-3</v>
      </c>
      <c r="AD47" s="133">
        <f t="shared" si="39"/>
        <v>5.106356651310302E-3</v>
      </c>
      <c r="AE47" s="133">
        <f t="shared" si="40"/>
        <v>5.106356651310302E-3</v>
      </c>
      <c r="AF47" s="134">
        <f t="shared" si="41"/>
        <v>0.71651172197958468</v>
      </c>
      <c r="AG47" s="135">
        <f>Données!G29</f>
        <v>0</v>
      </c>
      <c r="AH47" s="136">
        <f>Données!H29</f>
        <v>0</v>
      </c>
      <c r="AI47" s="107"/>
      <c r="AJ47" s="154" t="str">
        <f t="shared" si="42"/>
        <v/>
      </c>
      <c r="AK47" s="155" t="str">
        <f t="shared" si="43"/>
        <v/>
      </c>
      <c r="AL47" s="156" t="str">
        <f t="shared" si="45"/>
        <v/>
      </c>
      <c r="AM47" s="157" t="str">
        <f t="shared" si="46"/>
        <v/>
      </c>
      <c r="AN47" s="107"/>
      <c r="AO47" s="158" t="str">
        <f t="shared" si="44"/>
        <v/>
      </c>
    </row>
    <row r="48" spans="1:41" ht="16.95" customHeight="1" x14ac:dyDescent="0.3">
      <c r="A48" s="110" t="s">
        <v>156</v>
      </c>
      <c r="B48" s="137">
        <f>Données!B30</f>
        <v>99</v>
      </c>
      <c r="C48" s="137">
        <f>Données!C30</f>
        <v>104</v>
      </c>
      <c r="D48" s="137">
        <f>Données!D30</f>
        <v>110</v>
      </c>
      <c r="E48" s="137">
        <f>Données!E30</f>
        <v>116</v>
      </c>
      <c r="F48" s="137">
        <f>Données!F30</f>
        <v>122</v>
      </c>
      <c r="G48" s="137">
        <f>IF(ABS(B48-TREND($B48:$F48,{1,2,3,4,5},1))/ABS(TREND($B48:$F48,{1,2,3,4,5},1))&gt;$B$5,TREND($B48:$F48,{1,2,3,4,5},1),B48)</f>
        <v>99</v>
      </c>
      <c r="H48" s="137">
        <f>IF(ABS(C48-TREND($B48:$F48,{1,2,3,4,5},2))/ABS(TREND($B48:$F48,{1,2,3,4,5},2))&gt;$B$5,TREND($B48:$F48,{1,2,3,4,5},2),C48)</f>
        <v>104</v>
      </c>
      <c r="I48" s="137">
        <f>IF(ABS(D48-TREND($B48:$F48,{1,2,3,4,5},3))/ABS(TREND($B48:$F48,{1,2,3,4,5},3))&gt;$B$5,TREND($B48:$F48,{1,2,3,4,5},3),D48)</f>
        <v>110</v>
      </c>
      <c r="J48" s="137">
        <f>IF(ABS(E48-TREND($B48:$F48,{1,2,3,4,5},4))/ABS(TREND($B48:$F48,{1,2,3,4,5},4))&gt;$B$5,TREND($B48:$F48,{1,2,3,4,5},4),E48)</f>
        <v>116</v>
      </c>
      <c r="K48" s="137">
        <f>IF(ABS(F48-TREND($B48:$F48,{1,2,3,4,5},5))/ABS(TREND($B48:$F48,{1,2,3,4,5},5))&gt;$B$5,TREND($B48:$F48,{1,2,3,4,5},5),F48)</f>
        <v>122</v>
      </c>
      <c r="L48" s="138" t="str">
        <f>IF(AND(ABS(B48-TREND($B48:$F48,{1,2,3,4,5},1))/ABS(TREND($B48:$F48,{1,2,3,4,5},1))&gt;$B$5&lt;=$B$5,ABS(C48-TREND($B48:$F48,{1,2,3,4,5},2))/ABS(TREND($B48:$F48,{1,2,3,4,5},2))&gt;$B$5&lt;=$B$5,ABS(D48-TREND($B48:$F48,{1,2,3,4,5},3))/ABS(TREND($B48:$F48,{1,2,3,4,5},3))&gt;$B$5&lt;=$B$5,ABS(E48-TREND($B48:$F48,{1,2,3,4,5},4))/ABS(TREND($B48:$F48,{1,2,3,4,5},4))&gt;$B$5&lt;=$B$5,ABS(F48-TREND($B48:$F48,{1,2,3,4,5},5))/ABS(TREND($B48:$F48,{1,2,3,4,5},5))&gt;$B$5&lt;=$B$5),"✓",TRIM(IF(ABS(B48-TREND($B48:$F48,{1,2,3,4,5},1))/ABS(TREND($B48:$F48,{1,2,3,4,5},1))&gt;$B$5,"⚠Y-5 ","")&amp;IF(ABS(C48-TREND($B48:$F48,{1,2,3,4,5},2))/ABS(TREND($B48:$F48,{1,2,3,4,5},2))&gt;$B$5,"⚠Y-4 ","")&amp;IF(ABS(D48-TREND($B48:$F48,{1,2,3,4,5},3))/ABS(TREND($B48:$F48,{1,2,3,4,5},3))&gt;$B$5,"⚠Y-3 ","")&amp;IF(ABS(E48-TREND($B48:$F48,{1,2,3,4,5},4))/ABS(TREND($B48:$F48,{1,2,3,4,5},4))&gt;$B$5,"⚠Y-2 ","")&amp;IF(ABS(F48-TREND($B48:$F48,{1,2,3,4,5},5))/ABS(TREND($B48:$F48,{1,2,3,4,5},5))&gt;$B$5,"⚠Y-1 ","")))</f>
        <v/>
      </c>
      <c r="M48" s="139">
        <f t="shared" si="24"/>
        <v>1.5408560311284047</v>
      </c>
      <c r="N48" s="139">
        <f t="shared" si="25"/>
        <v>1.5331695331695332</v>
      </c>
      <c r="O48" s="139">
        <f t="shared" si="26"/>
        <v>1.5316778834996521</v>
      </c>
      <c r="P48" s="139">
        <f t="shared" si="27"/>
        <v>1.5335463258785942</v>
      </c>
      <c r="Q48" s="139">
        <f t="shared" si="28"/>
        <v>1.5304202383441354</v>
      </c>
      <c r="R48" s="123">
        <f t="shared" si="29"/>
        <v>1.5320308217461078</v>
      </c>
      <c r="S48" s="124" t="str">
        <f t="shared" si="30"/>
        <v>SH</v>
      </c>
      <c r="T48" s="125" t="str">
        <f t="shared" si="31"/>
        <v>SH</v>
      </c>
      <c r="U48" s="153" t="str">
        <f t="shared" si="32"/>
        <v>H1</v>
      </c>
      <c r="V48" s="126">
        <f t="shared" si="33"/>
        <v>4.76240580407247E-3</v>
      </c>
      <c r="W48" s="127">
        <f t="shared" si="34"/>
        <v>122.58101350809685</v>
      </c>
      <c r="X48" s="140">
        <v>128.30000000000001</v>
      </c>
      <c r="Y48" s="141">
        <v>127.7</v>
      </c>
      <c r="Z48" s="142">
        <f t="shared" si="35"/>
        <v>-5.1189864919031578</v>
      </c>
      <c r="AA48" s="131">
        <f t="shared" si="36"/>
        <v>128.41360501567399</v>
      </c>
      <c r="AB48" s="143" t="str">
        <f t="shared" si="37"/>
        <v/>
      </c>
      <c r="AC48" s="133">
        <f t="shared" si="38"/>
        <v>4.76240580407247E-3</v>
      </c>
      <c r="AD48" s="133">
        <f t="shared" si="39"/>
        <v>4.2970166122875469E-3</v>
      </c>
      <c r="AE48" s="133">
        <f t="shared" si="40"/>
        <v>4.2970166122875469E-3</v>
      </c>
      <c r="AF48" s="134">
        <f t="shared" si="41"/>
        <v>0.70698083787677379</v>
      </c>
      <c r="AG48" s="144">
        <f>Données!G30</f>
        <v>0</v>
      </c>
      <c r="AH48" s="145">
        <f>Données!H30</f>
        <v>0</v>
      </c>
      <c r="AI48" s="107"/>
      <c r="AJ48" s="159" t="str">
        <f t="shared" si="42"/>
        <v/>
      </c>
      <c r="AK48" s="160" t="str">
        <f t="shared" si="43"/>
        <v/>
      </c>
      <c r="AL48" s="161" t="str">
        <f t="shared" si="45"/>
        <v/>
      </c>
      <c r="AM48" s="162" t="str">
        <f t="shared" si="46"/>
        <v/>
      </c>
      <c r="AN48" s="107"/>
      <c r="AO48" s="163" t="str">
        <f t="shared" si="44"/>
        <v/>
      </c>
    </row>
    <row r="49" spans="1:41" ht="16.95" customHeight="1" x14ac:dyDescent="0.3">
      <c r="A49" s="106" t="s">
        <v>157</v>
      </c>
      <c r="B49" s="120">
        <f>Données!B31</f>
        <v>198</v>
      </c>
      <c r="C49" s="120">
        <f>Données!C31</f>
        <v>209</v>
      </c>
      <c r="D49" s="120">
        <f>Données!D31</f>
        <v>220</v>
      </c>
      <c r="E49" s="120">
        <f>Données!E31</f>
        <v>231</v>
      </c>
      <c r="F49" s="120">
        <f>Données!F31</f>
        <v>243</v>
      </c>
      <c r="G49" s="120">
        <f>IF(ABS(B49-TREND($B49:$F49,{1,2,3,4,5},1))/ABS(TREND($B49:$F49,{1,2,3,4,5},1))&gt;$B$5,TREND($B49:$F49,{1,2,3,4,5},1),B49)</f>
        <v>198</v>
      </c>
      <c r="H49" s="120">
        <f>IF(ABS(C49-TREND($B49:$F49,{1,2,3,4,5},2))/ABS(TREND($B49:$F49,{1,2,3,4,5},2))&gt;$B$5,TREND($B49:$F49,{1,2,3,4,5},2),C49)</f>
        <v>209</v>
      </c>
      <c r="I49" s="120">
        <f>IF(ABS(D49-TREND($B49:$F49,{1,2,3,4,5},3))/ABS(TREND($B49:$F49,{1,2,3,4,5},3))&gt;$B$5,TREND($B49:$F49,{1,2,3,4,5},3),D49)</f>
        <v>220</v>
      </c>
      <c r="J49" s="120">
        <f>IF(ABS(E49-TREND($B49:$F49,{1,2,3,4,5},4))/ABS(TREND($B49:$F49,{1,2,3,4,5},4))&gt;$B$5,TREND($B49:$F49,{1,2,3,4,5},4),E49)</f>
        <v>231</v>
      </c>
      <c r="K49" s="120">
        <f>IF(ABS(F49-TREND($B49:$F49,{1,2,3,4,5},5))/ABS(TREND($B49:$F49,{1,2,3,4,5},5))&gt;$B$5,TREND($B49:$F49,{1,2,3,4,5},5),F49)</f>
        <v>243</v>
      </c>
      <c r="L49" s="121" t="str">
        <f>IF(AND(ABS(B49-TREND($B49:$F49,{1,2,3,4,5},1))/ABS(TREND($B49:$F49,{1,2,3,4,5},1))&gt;$B$5&lt;=$B$5,ABS(C49-TREND($B49:$F49,{1,2,3,4,5},2))/ABS(TREND($B49:$F49,{1,2,3,4,5},2))&gt;$B$5&lt;=$B$5,ABS(D49-TREND($B49:$F49,{1,2,3,4,5},3))/ABS(TREND($B49:$F49,{1,2,3,4,5},3))&gt;$B$5&lt;=$B$5,ABS(E49-TREND($B49:$F49,{1,2,3,4,5},4))/ABS(TREND($B49:$F49,{1,2,3,4,5},4))&gt;$B$5&lt;=$B$5,ABS(F49-TREND($B49:$F49,{1,2,3,4,5},5))/ABS(TREND($B49:$F49,{1,2,3,4,5},5))&gt;$B$5&lt;=$B$5),"✓",TRIM(IF(ABS(B49-TREND($B49:$F49,{1,2,3,4,5},1))/ABS(TREND($B49:$F49,{1,2,3,4,5},1))&gt;$B$5,"⚠Y-5 ","")&amp;IF(ABS(C49-TREND($B49:$F49,{1,2,3,4,5},2))/ABS(TREND($B49:$F49,{1,2,3,4,5},2))&gt;$B$5,"⚠Y-4 ","")&amp;IF(ABS(D49-TREND($B49:$F49,{1,2,3,4,5},3))/ABS(TREND($B49:$F49,{1,2,3,4,5},3))&gt;$B$5,"⚠Y-3 ","")&amp;IF(ABS(E49-TREND($B49:$F49,{1,2,3,4,5},4))/ABS(TREND($B49:$F49,{1,2,3,4,5},4))&gt;$B$5,"⚠Y-2 ","")&amp;IF(ABS(F49-TREND($B49:$F49,{1,2,3,4,5},5))/ABS(TREND($B49:$F49,{1,2,3,4,5},5))&gt;$B$5,"⚠Y-1 ","")))</f>
        <v/>
      </c>
      <c r="M49" s="122">
        <f t="shared" si="24"/>
        <v>3.0817120622568095</v>
      </c>
      <c r="N49" s="122">
        <f t="shared" si="25"/>
        <v>3.0810810810810811</v>
      </c>
      <c r="O49" s="122">
        <f t="shared" si="26"/>
        <v>3.0633557669993041</v>
      </c>
      <c r="P49" s="122">
        <f t="shared" si="27"/>
        <v>3.0538724248099594</v>
      </c>
      <c r="Q49" s="122">
        <f t="shared" si="28"/>
        <v>3.0482960485051223</v>
      </c>
      <c r="R49" s="123">
        <f t="shared" si="29"/>
        <v>3.0566195854853975</v>
      </c>
      <c r="S49" s="124" t="str">
        <f t="shared" si="30"/>
        <v>SH</v>
      </c>
      <c r="T49" s="125" t="str">
        <f t="shared" si="31"/>
        <v>SH</v>
      </c>
      <c r="U49" s="153" t="str">
        <f t="shared" si="32"/>
        <v>H1</v>
      </c>
      <c r="V49" s="126">
        <f t="shared" si="33"/>
        <v>4.76240580407247E-3</v>
      </c>
      <c r="W49" s="127">
        <f t="shared" si="34"/>
        <v>292.98871753246755</v>
      </c>
      <c r="X49" s="128">
        <v>306.3</v>
      </c>
      <c r="Y49" s="129">
        <v>305.39999999999998</v>
      </c>
      <c r="Z49" s="130">
        <f t="shared" si="35"/>
        <v>-12.41128246753243</v>
      </c>
      <c r="AA49" s="131">
        <f t="shared" si="36"/>
        <v>306.57763636363632</v>
      </c>
      <c r="AB49" s="132" t="str">
        <f t="shared" si="37"/>
        <v/>
      </c>
      <c r="AC49" s="133">
        <f t="shared" si="38"/>
        <v>4.76240580407247E-3</v>
      </c>
      <c r="AD49" s="133">
        <f t="shared" si="39"/>
        <v>4.2970166122875469E-3</v>
      </c>
      <c r="AE49" s="133">
        <f t="shared" si="40"/>
        <v>4.2970166122875469E-3</v>
      </c>
      <c r="AF49" s="134">
        <f t="shared" si="41"/>
        <v>0.70698083787677379</v>
      </c>
      <c r="AG49" s="135">
        <f>Données!G31</f>
        <v>1</v>
      </c>
      <c r="AH49" s="136">
        <f>Données!H31</f>
        <v>0.2</v>
      </c>
      <c r="AI49" s="107"/>
      <c r="AJ49" s="154" t="str">
        <f t="shared" si="42"/>
        <v/>
      </c>
      <c r="AK49" s="155" t="str">
        <f t="shared" si="43"/>
        <v/>
      </c>
      <c r="AL49" s="156" t="str">
        <f t="shared" si="45"/>
        <v/>
      </c>
      <c r="AM49" s="157" t="str">
        <f t="shared" si="46"/>
        <v/>
      </c>
      <c r="AN49" s="107"/>
      <c r="AO49" s="158" t="str">
        <f t="shared" si="44"/>
        <v/>
      </c>
    </row>
    <row r="50" spans="1:41" ht="16.95" customHeight="1" x14ac:dyDescent="0.3">
      <c r="A50" s="110" t="s">
        <v>158</v>
      </c>
      <c r="B50" s="137">
        <f>Données!B32</f>
        <v>252</v>
      </c>
      <c r="C50" s="137">
        <f>Données!C32</f>
        <v>266</v>
      </c>
      <c r="D50" s="137">
        <f>Données!D32</f>
        <v>280</v>
      </c>
      <c r="E50" s="137">
        <f>Données!E32</f>
        <v>294</v>
      </c>
      <c r="F50" s="137">
        <f>Données!F32</f>
        <v>309</v>
      </c>
      <c r="G50" s="137">
        <f>IF(ABS(B50-TREND($B50:$F50,{1,2,3,4,5},1))/ABS(TREND($B50:$F50,{1,2,3,4,5},1))&gt;$B$5,TREND($B50:$F50,{1,2,3,4,5},1),B50)</f>
        <v>252</v>
      </c>
      <c r="H50" s="137">
        <f>IF(ABS(C50-TREND($B50:$F50,{1,2,3,4,5},2))/ABS(TREND($B50:$F50,{1,2,3,4,5},2))&gt;$B$5,TREND($B50:$F50,{1,2,3,4,5},2),C50)</f>
        <v>266</v>
      </c>
      <c r="I50" s="137">
        <f>IF(ABS(D50-TREND($B50:$F50,{1,2,3,4,5},3))/ABS(TREND($B50:$F50,{1,2,3,4,5},3))&gt;$B$5,TREND($B50:$F50,{1,2,3,4,5},3),D50)</f>
        <v>280</v>
      </c>
      <c r="J50" s="137">
        <f>IF(ABS(E50-TREND($B50:$F50,{1,2,3,4,5},4))/ABS(TREND($B50:$F50,{1,2,3,4,5},4))&gt;$B$5,TREND($B50:$F50,{1,2,3,4,5},4),E50)</f>
        <v>294</v>
      </c>
      <c r="K50" s="137">
        <f>IF(ABS(F50-TREND($B50:$F50,{1,2,3,4,5},5))/ABS(TREND($B50:$F50,{1,2,3,4,5},5))&gt;$B$5,TREND($B50:$F50,{1,2,3,4,5},5),F50)</f>
        <v>309</v>
      </c>
      <c r="L50" s="138" t="str">
        <f>IF(AND(ABS(B50-TREND($B50:$F50,{1,2,3,4,5},1))/ABS(TREND($B50:$F50,{1,2,3,4,5},1))&gt;$B$5&lt;=$B$5,ABS(C50-TREND($B50:$F50,{1,2,3,4,5},2))/ABS(TREND($B50:$F50,{1,2,3,4,5},2))&gt;$B$5&lt;=$B$5,ABS(D50-TREND($B50:$F50,{1,2,3,4,5},3))/ABS(TREND($B50:$F50,{1,2,3,4,5},3))&gt;$B$5&lt;=$B$5,ABS(E50-TREND($B50:$F50,{1,2,3,4,5},4))/ABS(TREND($B50:$F50,{1,2,3,4,5},4))&gt;$B$5&lt;=$B$5,ABS(F50-TREND($B50:$F50,{1,2,3,4,5},5))/ABS(TREND($B50:$F50,{1,2,3,4,5},5))&gt;$B$5&lt;=$B$5),"✓",TRIM(IF(ABS(B50-TREND($B50:$F50,{1,2,3,4,5},1))/ABS(TREND($B50:$F50,{1,2,3,4,5},1))&gt;$B$5,"⚠Y-5 ","")&amp;IF(ABS(C50-TREND($B50:$F50,{1,2,3,4,5},2))/ABS(TREND($B50:$F50,{1,2,3,4,5},2))&gt;$B$5,"⚠Y-4 ","")&amp;IF(ABS(D50-TREND($B50:$F50,{1,2,3,4,5},3))/ABS(TREND($B50:$F50,{1,2,3,4,5},3))&gt;$B$5,"⚠Y-3 ","")&amp;IF(ABS(E50-TREND($B50:$F50,{1,2,3,4,5},4))/ABS(TREND($B50:$F50,{1,2,3,4,5},4))&gt;$B$5,"⚠Y-2 ","")&amp;IF(ABS(F50-TREND($B50:$F50,{1,2,3,4,5},5))/ABS(TREND($B50:$F50,{1,2,3,4,5},5))&gt;$B$5,"⚠Y-1 ","")))</f>
        <v/>
      </c>
      <c r="M50" s="139">
        <f t="shared" si="24"/>
        <v>3.9221789883268481</v>
      </c>
      <c r="N50" s="139">
        <f t="shared" si="25"/>
        <v>3.9213759213759216</v>
      </c>
      <c r="O50" s="139">
        <f t="shared" si="26"/>
        <v>3.8988164307263866</v>
      </c>
      <c r="P50" s="139">
        <f t="shared" si="27"/>
        <v>3.8867467224854026</v>
      </c>
      <c r="Q50" s="139">
        <f t="shared" si="28"/>
        <v>3.8762283085929332</v>
      </c>
      <c r="R50" s="123">
        <f t="shared" si="29"/>
        <v>3.8885325049564399</v>
      </c>
      <c r="S50" s="124" t="str">
        <f t="shared" si="30"/>
        <v>SH</v>
      </c>
      <c r="T50" s="125" t="str">
        <f t="shared" si="31"/>
        <v>SH</v>
      </c>
      <c r="U50" s="153" t="str">
        <f t="shared" si="32"/>
        <v>H1</v>
      </c>
      <c r="V50" s="126">
        <f t="shared" si="33"/>
        <v>4.76240580407247E-3</v>
      </c>
      <c r="W50" s="127">
        <f t="shared" si="34"/>
        <v>310.47158339345839</v>
      </c>
      <c r="X50" s="140">
        <v>324.5</v>
      </c>
      <c r="Y50" s="141">
        <v>323.7</v>
      </c>
      <c r="Z50" s="142">
        <f t="shared" si="35"/>
        <v>-13.2284166065416</v>
      </c>
      <c r="AA50" s="131">
        <f t="shared" si="36"/>
        <v>324.67071428571427</v>
      </c>
      <c r="AB50" s="143" t="str">
        <f t="shared" si="37"/>
        <v/>
      </c>
      <c r="AC50" s="133">
        <f t="shared" si="38"/>
        <v>4.76240580407247E-3</v>
      </c>
      <c r="AD50" s="133">
        <f t="shared" si="39"/>
        <v>4.2970166122875469E-3</v>
      </c>
      <c r="AE50" s="133">
        <f t="shared" si="40"/>
        <v>4.2970166122875469E-3</v>
      </c>
      <c r="AF50" s="134">
        <f t="shared" si="41"/>
        <v>0.70698083787677379</v>
      </c>
      <c r="AG50" s="144">
        <f>Données!G32</f>
        <v>0</v>
      </c>
      <c r="AH50" s="145">
        <f>Données!H32</f>
        <v>0</v>
      </c>
      <c r="AI50" s="107"/>
      <c r="AJ50" s="159" t="str">
        <f t="shared" si="42"/>
        <v/>
      </c>
      <c r="AK50" s="160" t="str">
        <f t="shared" si="43"/>
        <v/>
      </c>
      <c r="AL50" s="161" t="str">
        <f t="shared" si="45"/>
        <v/>
      </c>
      <c r="AM50" s="162" t="str">
        <f t="shared" si="46"/>
        <v/>
      </c>
      <c r="AN50" s="107"/>
      <c r="AO50" s="163" t="str">
        <f t="shared" si="44"/>
        <v/>
      </c>
    </row>
    <row r="51" spans="1:41" ht="18" customHeight="1" x14ac:dyDescent="0.3">
      <c r="A51" s="146" t="s">
        <v>29</v>
      </c>
      <c r="B51" s="147">
        <f t="shared" ref="B51:K51" si="47">SUM(B39:B50)</f>
        <v>771</v>
      </c>
      <c r="C51" s="147">
        <f t="shared" si="47"/>
        <v>814</v>
      </c>
      <c r="D51" s="147">
        <f t="shared" si="47"/>
        <v>858</v>
      </c>
      <c r="E51" s="147">
        <f t="shared" si="47"/>
        <v>921</v>
      </c>
      <c r="F51" s="147">
        <f t="shared" si="47"/>
        <v>949</v>
      </c>
      <c r="G51" s="147">
        <f t="shared" si="47"/>
        <v>771</v>
      </c>
      <c r="H51" s="147">
        <f t="shared" si="47"/>
        <v>814</v>
      </c>
      <c r="I51" s="147">
        <f t="shared" si="47"/>
        <v>861.8</v>
      </c>
      <c r="J51" s="147">
        <f t="shared" si="47"/>
        <v>907.7</v>
      </c>
      <c r="K51" s="147">
        <f t="shared" si="47"/>
        <v>956.6</v>
      </c>
      <c r="L51" s="148"/>
      <c r="M51" s="148"/>
      <c r="N51" s="148"/>
      <c r="O51" s="148"/>
      <c r="P51" s="148"/>
      <c r="Q51" s="148"/>
      <c r="R51" s="148"/>
      <c r="S51" s="148"/>
      <c r="T51" s="148"/>
      <c r="U51" s="148"/>
      <c r="V51" s="148"/>
      <c r="W51" s="147">
        <f>SUM(W39:W50)</f>
        <v>1012.038592865259</v>
      </c>
      <c r="X51" s="147">
        <f>SUM(X39:X50)</f>
        <v>1053.2</v>
      </c>
      <c r="Y51" s="147">
        <f>SUM(Y39:Y50)</f>
        <v>1053.0999999999999</v>
      </c>
      <c r="Z51" s="149">
        <f>SUM(Z39:Z50)</f>
        <v>-41.061407134740918</v>
      </c>
      <c r="AA51" s="147">
        <f>SUM(AA39:AA50)</f>
        <v>1061.0065250439281</v>
      </c>
      <c r="AB51" s="148"/>
      <c r="AC51" s="148"/>
      <c r="AD51" s="148"/>
      <c r="AE51" s="148"/>
      <c r="AF51" s="148"/>
      <c r="AG51" s="148"/>
      <c r="AH51" s="148"/>
    </row>
    <row r="52" spans="1:41" ht="4.95" customHeight="1" x14ac:dyDescent="0.3">
      <c r="A52" s="48"/>
      <c r="B52" s="48"/>
      <c r="C52" s="48"/>
      <c r="D52" s="48"/>
      <c r="E52" s="48"/>
      <c r="F52" s="48"/>
      <c r="G52" s="48"/>
      <c r="H52" s="48"/>
      <c r="I52" s="48"/>
      <c r="J52" s="48"/>
      <c r="K52" s="48"/>
      <c r="L52" s="48"/>
      <c r="M52" s="48"/>
      <c r="N52" s="48"/>
      <c r="O52" s="48"/>
      <c r="P52" s="48"/>
      <c r="Q52" s="48"/>
      <c r="R52" s="48"/>
      <c r="S52" s="48"/>
      <c r="T52" s="48"/>
      <c r="U52" s="48"/>
    </row>
    <row r="53" spans="1:41" ht="16.05" customHeight="1" x14ac:dyDescent="0.3">
      <c r="A53" s="49" t="s">
        <v>84</v>
      </c>
      <c r="B53" s="50">
        <f>SUMPRODUCT(ABS(J39:J50*(J39:J50/I39:I50)-K39:K50)/K39:K50)/12</f>
        <v>4.6377903763156576E-3</v>
      </c>
      <c r="C53" s="381" t="s">
        <v>233</v>
      </c>
      <c r="D53" s="373"/>
      <c r="E53" s="373"/>
      <c r="F53" s="373"/>
      <c r="G53" s="373"/>
      <c r="H53" s="373"/>
      <c r="I53" s="373"/>
      <c r="J53" s="373"/>
      <c r="K53" s="373"/>
      <c r="L53" s="373"/>
      <c r="M53" s="373"/>
      <c r="N53" s="373"/>
      <c r="O53" s="373"/>
      <c r="P53" s="373"/>
      <c r="Q53" s="373"/>
      <c r="R53" s="373"/>
      <c r="S53" s="373"/>
      <c r="T53" s="374"/>
    </row>
    <row r="54" spans="1:41" ht="4.95" customHeight="1" x14ac:dyDescent="0.3">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row>
    <row r="55" spans="1:41" ht="18" customHeight="1" x14ac:dyDescent="0.3">
      <c r="A55" s="404" t="s">
        <v>235</v>
      </c>
      <c r="B55" s="373"/>
      <c r="C55" s="373"/>
      <c r="D55" s="373"/>
      <c r="E55" s="373"/>
      <c r="F55" s="373"/>
      <c r="G55" s="373"/>
      <c r="H55" s="373"/>
      <c r="I55" s="373"/>
      <c r="J55" s="373"/>
      <c r="K55" s="373"/>
      <c r="L55" s="373"/>
      <c r="M55" s="373"/>
      <c r="N55" s="373"/>
      <c r="O55" s="373"/>
      <c r="P55" s="373"/>
      <c r="Q55" s="373"/>
      <c r="R55" s="373"/>
      <c r="S55" s="373"/>
      <c r="T55" s="374"/>
    </row>
    <row r="56" spans="1:41" ht="16.95" customHeight="1" x14ac:dyDescent="0.3">
      <c r="A56" s="106" t="s">
        <v>147</v>
      </c>
      <c r="B56" s="120">
        <f>Données!B36</f>
        <v>97</v>
      </c>
      <c r="C56" s="120">
        <f>Données!C36</f>
        <v>98</v>
      </c>
      <c r="D56" s="120">
        <f>Données!D36</f>
        <v>99</v>
      </c>
      <c r="E56" s="120">
        <f>Données!E36</f>
        <v>114</v>
      </c>
      <c r="F56" s="120">
        <f>Données!F36</f>
        <v>131</v>
      </c>
      <c r="G56" s="120">
        <f>IF(ABS(B56-TREND($B56:$F56,{1,2,3,4,5},1))/ABS(TREND($B56:$F56,{1,2,3,4,5},1))&gt;$B$5,TREND($B56:$F56,{1,2,3,4,5},1),B56)</f>
        <v>97</v>
      </c>
      <c r="H56" s="120">
        <f>IF(ABS(C56-TREND($B56:$F56,{1,2,3,4,5},2))/ABS(TREND($B56:$F56,{1,2,3,4,5},2))&gt;$B$5,TREND($B56:$F56,{1,2,3,4,5},2),C56)</f>
        <v>98</v>
      </c>
      <c r="I56" s="120">
        <f>IF(ABS(D56-TREND($B56:$F56,{1,2,3,4,5},3))/ABS(TREND($B56:$F56,{1,2,3,4,5},3))&gt;$B$5,TREND($B56:$F56,{1,2,3,4,5},3),D56)</f>
        <v>99</v>
      </c>
      <c r="J56" s="120">
        <f>IF(ABS(E56-TREND($B56:$F56,{1,2,3,4,5},4))/ABS(TREND($B56:$F56,{1,2,3,4,5},4))&gt;$B$5,TREND($B56:$F56,{1,2,3,4,5},4),E56)</f>
        <v>114</v>
      </c>
      <c r="K56" s="120">
        <f>IF(ABS(F56-TREND($B56:$F56,{1,2,3,4,5},5))/ABS(TREND($B56:$F56,{1,2,3,4,5},5))&gt;$B$5,TREND($B56:$F56,{1,2,3,4,5},5),F56)</f>
        <v>131</v>
      </c>
      <c r="L56" s="121" t="str">
        <f>IF(AND(ABS(B56-TREND($B56:$F56,{1,2,3,4,5},1))/ABS(TREND($B56:$F56,{1,2,3,4,5},1))&gt;$B$5&lt;=$B$5,ABS(C56-TREND($B56:$F56,{1,2,3,4,5},2))/ABS(TREND($B56:$F56,{1,2,3,4,5},2))&gt;$B$5&lt;=$B$5,ABS(D56-TREND($B56:$F56,{1,2,3,4,5},3))/ABS(TREND($B56:$F56,{1,2,3,4,5},3))&gt;$B$5&lt;=$B$5,ABS(E56-TREND($B56:$F56,{1,2,3,4,5},4))/ABS(TREND($B56:$F56,{1,2,3,4,5},4))&gt;$B$5&lt;=$B$5,ABS(F56-TREND($B56:$F56,{1,2,3,4,5},5))/ABS(TREND($B56:$F56,{1,2,3,4,5},5))&gt;$B$5&lt;=$B$5),"✓",TRIM(IF(ABS(B56-TREND($B56:$F56,{1,2,3,4,5},1))/ABS(TREND($B56:$F56,{1,2,3,4,5},1))&gt;$B$5,"⚠Y-5 ","")&amp;IF(ABS(C56-TREND($B56:$F56,{1,2,3,4,5},2))/ABS(TREND($B56:$F56,{1,2,3,4,5},2))&gt;$B$5,"⚠Y-4 ","")&amp;IF(ABS(D56-TREND($B56:$F56,{1,2,3,4,5},3))/ABS(TREND($B56:$F56,{1,2,3,4,5},3))&gt;$B$5,"⚠Y-3 ","")&amp;IF(ABS(E56-TREND($B56:$F56,{1,2,3,4,5},4))/ABS(TREND($B56:$F56,{1,2,3,4,5},4))&gt;$B$5,"⚠Y-2 ","")&amp;IF(ABS(F56-TREND($B56:$F56,{1,2,3,4,5},5))/ABS(TREND($B56:$F56,{1,2,3,4,5},5))&gt;$B$5,"⚠Y-1 ","")))</f>
        <v/>
      </c>
      <c r="M56" s="122">
        <f t="shared" ref="M56:M67" si="48">G56/AVERAGE($G$56:$G$67)</f>
        <v>0.96838602329450907</v>
      </c>
      <c r="N56" s="122">
        <f t="shared" ref="N56:N67" si="49">H56/AVERAGE($H$56:$H$67)</f>
        <v>0.96869851729818779</v>
      </c>
      <c r="O56" s="122">
        <f t="shared" ref="O56:O67" si="50">I56/AVERAGE($I$56:$I$67)</f>
        <v>0.96900489396411094</v>
      </c>
      <c r="P56" s="122">
        <f t="shared" ref="P56:P67" si="51">J56/AVERAGE($J$56:$J$67)</f>
        <v>0.97090134847409504</v>
      </c>
      <c r="Q56" s="122">
        <f t="shared" ref="Q56:Q67" si="52">K56/AVERAGE($K$56:$K$67)</f>
        <v>0.97037037037037033</v>
      </c>
      <c r="R56" s="123">
        <f t="shared" ref="R56:R67" si="53">$B$8*M56+$B$9*N56+$B$10*O56+$B$11*P56+$B$12*Q56</f>
        <v>0.97000534186916509</v>
      </c>
      <c r="S56" s="124" t="str">
        <f t="shared" ref="S56:S67" si="54">IF(R56&lt;$B$6,"SB",IF(R56&gt;$B$7,"SH","NS"))</f>
        <v>NS</v>
      </c>
      <c r="T56" s="125" t="str">
        <f t="shared" ref="T56:T67" si="55">IF(SUMPRODUCT(--(M56:Q56&gt;$B$7))&gt;2.5,"SH",IF(SUMPRODUCT(--(M56:Q56&lt;$B$6))&gt;2.5,"SB","NS"))</f>
        <v>NS</v>
      </c>
      <c r="U56" s="153" t="str">
        <f t="shared" ref="U56:U67" si="56">IFERROR(IF(AND(ABS(AC56-AD56)&lt;$J$7,ABS(AD56-AE56)&lt;$J$7),"H1",IF(ABS(AC56-AD56)&gt;=$J$7,IF(ABS(AE56-AD56)&lt;=ABS(AE56-AC56),"H2","H2b"),"H3")),"—")</f>
        <v>H2</v>
      </c>
      <c r="V56" s="126">
        <f t="shared" ref="V56:V67" si="57">IFERROR(IF(U56="H1",AC56,IF(OR(U56="H2",U56="H2b"),IF(U56="H2",AF56*AD56+(1-AF56)*AC56,(1-AF56)*AD56+AF56*AC56),IF(ABS(AE56-AD56)&lt;=ABS(AE56-AC56),AD56,AC56))),AC56)</f>
        <v>1.1319562518689047E-2</v>
      </c>
      <c r="W56" s="127">
        <f t="shared" ref="W56:W67" si="58">K56*(1+V56)*(1+AG56*AH56)</f>
        <v>132.48286268994826</v>
      </c>
      <c r="X56" s="150" t="s">
        <v>236</v>
      </c>
      <c r="Y56" s="150" t="s">
        <v>236</v>
      </c>
      <c r="Z56" s="150" t="s">
        <v>236</v>
      </c>
      <c r="AA56" s="131">
        <f t="shared" ref="AA56:AA67" si="59">K56*($B$14*K56/J56+$B$15*J56/I56)*(1+AG56*AH56)</f>
        <v>150.62910685805423</v>
      </c>
      <c r="AB56" s="132" t="str">
        <f t="shared" ref="AB56:AB67" si="60">IF(SIGN(K56/J56-1)&lt;&gt;SIGN(J56/I56-1),"⚠ retournement",IF(ABS(K56/J56-J56/I56)&gt;$B$16,"⚡ accél.",""))</f>
        <v/>
      </c>
      <c r="AC56" s="133">
        <f t="shared" ref="AC56:AC67" si="61">IFERROR(SUMPRODUCT(($T$56:$T$67=T56)*(($K$56:$K$67/$G$56:$G$67-1)/48))/COUNTIF($T$56:$T$67,T56),0)</f>
        <v>7.2446885320634454E-3</v>
      </c>
      <c r="AD56" s="133">
        <f t="shared" ref="AD56:AD67" si="62">IFERROR(SUMPRODUCT(($T$56:$T$67=T56)*(($K$56:$K$67/$J$56:$J$67-1)/12))/COUNTIF($T$56:$T$67,T56),0)</f>
        <v>1.2478866644767628E-2</v>
      </c>
      <c r="AE56" s="133">
        <f t="shared" ref="AE56:AE67" si="63">IFERROR(IF(SUMPRODUCT(($T$56:$T$67=T56)*(ROW($T$56:$T$67)-ROW($T$56)+1&gt;9))&gt;0,SUMPRODUCT(($T$56:$T$67=T56)*(ROW($T$56:$T$67)-ROW($T$56)+1&gt;9)*(($K$56:$K$67/$J$56:$J$67-1)/12))/SUMPRODUCT(($T$56:$T$67=T56)*(ROW($T$56:$T$67)-ROW($T$56)+1&gt;9)),AD56),AD56)</f>
        <v>1.2617072602334209E-2</v>
      </c>
      <c r="AF56" s="134">
        <f t="shared" ref="AF56:AF67" si="64">MIN($J$9,$B$14+($J$9-$B$14)*MIN(1,IFERROR(ABS(AC56-AD56)/$J$8,1)))</f>
        <v>0.77851267169056271</v>
      </c>
      <c r="AG56" s="135">
        <f>Données!G36</f>
        <v>0</v>
      </c>
      <c r="AH56" s="136">
        <f>Données!H36</f>
        <v>0</v>
      </c>
      <c r="AI56" s="107"/>
      <c r="AJ56" s="154" t="str">
        <f t="shared" ref="AJ56:AJ67" si="65">IF(AI56="","",(AI56-W56)/W56)</f>
        <v/>
      </c>
      <c r="AK56" s="155" t="str">
        <f t="shared" ref="AK56:AK67" si="66">IF(AI56="","",(AI56-AA56)/AA56)</f>
        <v/>
      </c>
      <c r="AL56" s="156"/>
      <c r="AM56" s="157"/>
      <c r="AN56" s="107"/>
      <c r="AO56" s="158" t="str">
        <f t="shared" ref="AO56:AO67" si="67">IF(AN56="","",(AN56-W56)/W56)</f>
        <v/>
      </c>
    </row>
    <row r="57" spans="1:41" ht="16.95" customHeight="1" x14ac:dyDescent="0.3">
      <c r="A57" s="110" t="s">
        <v>148</v>
      </c>
      <c r="B57" s="137">
        <f>Données!B37</f>
        <v>99</v>
      </c>
      <c r="C57" s="137">
        <f>Données!C37</f>
        <v>100</v>
      </c>
      <c r="D57" s="137">
        <f>Données!D37</f>
        <v>101</v>
      </c>
      <c r="E57" s="137">
        <f>Données!E37</f>
        <v>116</v>
      </c>
      <c r="F57" s="137">
        <f>Données!F37</f>
        <v>133</v>
      </c>
      <c r="G57" s="137">
        <f>IF(ABS(B57-TREND($B57:$F57,{1,2,3,4,5},1))/ABS(TREND($B57:$F57,{1,2,3,4,5},1))&gt;$B$5,TREND($B57:$F57,{1,2,3,4,5},1),B57)</f>
        <v>99</v>
      </c>
      <c r="H57" s="137">
        <f>IF(ABS(C57-TREND($B57:$F57,{1,2,3,4,5},2))/ABS(TREND($B57:$F57,{1,2,3,4,5},2))&gt;$B$5,TREND($B57:$F57,{1,2,3,4,5},2),C57)</f>
        <v>100</v>
      </c>
      <c r="I57" s="137">
        <f>IF(ABS(D57-TREND($B57:$F57,{1,2,3,4,5},3))/ABS(TREND($B57:$F57,{1,2,3,4,5},3))&gt;$B$5,TREND($B57:$F57,{1,2,3,4,5},3),D57)</f>
        <v>101</v>
      </c>
      <c r="J57" s="137">
        <f>IF(ABS(E57-TREND($B57:$F57,{1,2,3,4,5},4))/ABS(TREND($B57:$F57,{1,2,3,4,5},4))&gt;$B$5,TREND($B57:$F57,{1,2,3,4,5},4),E57)</f>
        <v>116</v>
      </c>
      <c r="K57" s="137">
        <f>IF(ABS(F57-TREND($B57:$F57,{1,2,3,4,5},5))/ABS(TREND($B57:$F57,{1,2,3,4,5},5))&gt;$B$5,TREND($B57:$F57,{1,2,3,4,5},5),F57)</f>
        <v>133</v>
      </c>
      <c r="L57" s="138" t="str">
        <f>IF(AND(ABS(B57-TREND($B57:$F57,{1,2,3,4,5},1))/ABS(TREND($B57:$F57,{1,2,3,4,5},1))&gt;$B$5&lt;=$B$5,ABS(C57-TREND($B57:$F57,{1,2,3,4,5},2))/ABS(TREND($B57:$F57,{1,2,3,4,5},2))&gt;$B$5&lt;=$B$5,ABS(D57-TREND($B57:$F57,{1,2,3,4,5},3))/ABS(TREND($B57:$F57,{1,2,3,4,5},3))&gt;$B$5&lt;=$B$5,ABS(E57-TREND($B57:$F57,{1,2,3,4,5},4))/ABS(TREND($B57:$F57,{1,2,3,4,5},4))&gt;$B$5&lt;=$B$5,ABS(F57-TREND($B57:$F57,{1,2,3,4,5},5))/ABS(TREND($B57:$F57,{1,2,3,4,5},5))&gt;$B$5&lt;=$B$5),"✓",TRIM(IF(ABS(B57-TREND($B57:$F57,{1,2,3,4,5},1))/ABS(TREND($B57:$F57,{1,2,3,4,5},1))&gt;$B$5,"⚠Y-5 ","")&amp;IF(ABS(C57-TREND($B57:$F57,{1,2,3,4,5},2))/ABS(TREND($B57:$F57,{1,2,3,4,5},2))&gt;$B$5,"⚠Y-4 ","")&amp;IF(ABS(D57-TREND($B57:$F57,{1,2,3,4,5},3))/ABS(TREND($B57:$F57,{1,2,3,4,5},3))&gt;$B$5,"⚠Y-3 ","")&amp;IF(ABS(E57-TREND($B57:$F57,{1,2,3,4,5},4))/ABS(TREND($B57:$F57,{1,2,3,4,5},4))&gt;$B$5,"⚠Y-2 ","")&amp;IF(ABS(F57-TREND($B57:$F57,{1,2,3,4,5},5))/ABS(TREND($B57:$F57,{1,2,3,4,5},5))&gt;$B$5,"⚠Y-1 ","")))</f>
        <v/>
      </c>
      <c r="M57" s="139">
        <f t="shared" si="48"/>
        <v>0.98835274542429274</v>
      </c>
      <c r="N57" s="139">
        <f t="shared" si="49"/>
        <v>0.98846787479406917</v>
      </c>
      <c r="O57" s="139">
        <f t="shared" si="50"/>
        <v>0.98858075040783033</v>
      </c>
      <c r="P57" s="139">
        <f t="shared" si="51"/>
        <v>0.98793470546486861</v>
      </c>
      <c r="Q57" s="139">
        <f t="shared" si="52"/>
        <v>0.98518518518518516</v>
      </c>
      <c r="R57" s="123">
        <f t="shared" si="53"/>
        <v>0.98673107099736246</v>
      </c>
      <c r="S57" s="124" t="str">
        <f t="shared" si="54"/>
        <v>NS</v>
      </c>
      <c r="T57" s="125" t="str">
        <f t="shared" si="55"/>
        <v>NS</v>
      </c>
      <c r="U57" s="153" t="str">
        <f t="shared" si="56"/>
        <v>H2</v>
      </c>
      <c r="V57" s="126">
        <f t="shared" si="57"/>
        <v>1.1319562518689047E-2</v>
      </c>
      <c r="W57" s="127">
        <f t="shared" si="58"/>
        <v>134.50550181498565</v>
      </c>
      <c r="X57" s="151" t="s">
        <v>236</v>
      </c>
      <c r="Y57" s="151" t="s">
        <v>236</v>
      </c>
      <c r="Z57" s="151" t="s">
        <v>236</v>
      </c>
      <c r="AA57" s="131">
        <f t="shared" si="59"/>
        <v>152.56970809149882</v>
      </c>
      <c r="AB57" s="143" t="str">
        <f t="shared" si="60"/>
        <v/>
      </c>
      <c r="AC57" s="133">
        <f t="shared" si="61"/>
        <v>7.2446885320634454E-3</v>
      </c>
      <c r="AD57" s="133">
        <f t="shared" si="62"/>
        <v>1.2478866644767628E-2</v>
      </c>
      <c r="AE57" s="133">
        <f t="shared" si="63"/>
        <v>1.2617072602334209E-2</v>
      </c>
      <c r="AF57" s="134">
        <f t="shared" si="64"/>
        <v>0.77851267169056271</v>
      </c>
      <c r="AG57" s="144">
        <f>Données!G37</f>
        <v>0</v>
      </c>
      <c r="AH57" s="145">
        <f>Données!H37</f>
        <v>0</v>
      </c>
      <c r="AI57" s="107"/>
      <c r="AJ57" s="159" t="str">
        <f t="shared" si="65"/>
        <v/>
      </c>
      <c r="AK57" s="160" t="str">
        <f t="shared" si="66"/>
        <v/>
      </c>
      <c r="AL57" s="161"/>
      <c r="AM57" s="162"/>
      <c r="AN57" s="107"/>
      <c r="AO57" s="163" t="str">
        <f t="shared" si="67"/>
        <v/>
      </c>
    </row>
    <row r="58" spans="1:41" ht="16.95" customHeight="1" x14ac:dyDescent="0.3">
      <c r="A58" s="106" t="s">
        <v>149</v>
      </c>
      <c r="B58" s="120">
        <f>Données!B38</f>
        <v>101</v>
      </c>
      <c r="C58" s="120">
        <f>Données!C38</f>
        <v>102</v>
      </c>
      <c r="D58" s="120">
        <f>Données!D38</f>
        <v>103</v>
      </c>
      <c r="E58" s="120">
        <f>Données!E38</f>
        <v>118</v>
      </c>
      <c r="F58" s="120">
        <f>Données!F38</f>
        <v>136</v>
      </c>
      <c r="G58" s="120">
        <f>IF(ABS(B58-TREND($B58:$F58,{1,2,3,4,5},1))/ABS(TREND($B58:$F58,{1,2,3,4,5},1))&gt;$B$5,TREND($B58:$F58,{1,2,3,4,5},1),B58)</f>
        <v>101</v>
      </c>
      <c r="H58" s="120">
        <f>IF(ABS(C58-TREND($B58:$F58,{1,2,3,4,5},2))/ABS(TREND($B58:$F58,{1,2,3,4,5},2))&gt;$B$5,TREND($B58:$F58,{1,2,3,4,5},2),C58)</f>
        <v>102</v>
      </c>
      <c r="I58" s="120">
        <f>IF(ABS(D58-TREND($B58:$F58,{1,2,3,4,5},3))/ABS(TREND($B58:$F58,{1,2,3,4,5},3))&gt;$B$5,TREND($B58:$F58,{1,2,3,4,5},3),D58)</f>
        <v>103</v>
      </c>
      <c r="J58" s="120">
        <f>IF(ABS(E58-TREND($B58:$F58,{1,2,3,4,5},4))/ABS(TREND($B58:$F58,{1,2,3,4,5},4))&gt;$B$5,TREND($B58:$F58,{1,2,3,4,5},4),E58)</f>
        <v>118</v>
      </c>
      <c r="K58" s="120">
        <f>IF(ABS(F58-TREND($B58:$F58,{1,2,3,4,5},5))/ABS(TREND($B58:$F58,{1,2,3,4,5},5))&gt;$B$5,TREND($B58:$F58,{1,2,3,4,5},5),F58)</f>
        <v>136</v>
      </c>
      <c r="L58" s="121" t="str">
        <f>IF(AND(ABS(B58-TREND($B58:$F58,{1,2,3,4,5},1))/ABS(TREND($B58:$F58,{1,2,3,4,5},1))&gt;$B$5&lt;=$B$5,ABS(C58-TREND($B58:$F58,{1,2,3,4,5},2))/ABS(TREND($B58:$F58,{1,2,3,4,5},2))&gt;$B$5&lt;=$B$5,ABS(D58-TREND($B58:$F58,{1,2,3,4,5},3))/ABS(TREND($B58:$F58,{1,2,3,4,5},3))&gt;$B$5&lt;=$B$5,ABS(E58-TREND($B58:$F58,{1,2,3,4,5},4))/ABS(TREND($B58:$F58,{1,2,3,4,5},4))&gt;$B$5&lt;=$B$5,ABS(F58-TREND($B58:$F58,{1,2,3,4,5},5))/ABS(TREND($B58:$F58,{1,2,3,4,5},5))&gt;$B$5&lt;=$B$5),"✓",TRIM(IF(ABS(B58-TREND($B58:$F58,{1,2,3,4,5},1))/ABS(TREND($B58:$F58,{1,2,3,4,5},1))&gt;$B$5,"⚠Y-5 ","")&amp;IF(ABS(C58-TREND($B58:$F58,{1,2,3,4,5},2))/ABS(TREND($B58:$F58,{1,2,3,4,5},2))&gt;$B$5,"⚠Y-4 ","")&amp;IF(ABS(D58-TREND($B58:$F58,{1,2,3,4,5},3))/ABS(TREND($B58:$F58,{1,2,3,4,5},3))&gt;$B$5,"⚠Y-3 ","")&amp;IF(ABS(E58-TREND($B58:$F58,{1,2,3,4,5},4))/ABS(TREND($B58:$F58,{1,2,3,4,5},4))&gt;$B$5,"⚠Y-2 ","")&amp;IF(ABS(F58-TREND($B58:$F58,{1,2,3,4,5},5))/ABS(TREND($B58:$F58,{1,2,3,4,5},5))&gt;$B$5,"⚠Y-1 ","")))</f>
        <v/>
      </c>
      <c r="M58" s="122">
        <f t="shared" si="48"/>
        <v>1.0083194675540765</v>
      </c>
      <c r="N58" s="122">
        <f t="shared" si="49"/>
        <v>1.0082372322899504</v>
      </c>
      <c r="O58" s="122">
        <f t="shared" si="50"/>
        <v>1.0081566068515497</v>
      </c>
      <c r="P58" s="122">
        <f t="shared" si="51"/>
        <v>1.0049680624556423</v>
      </c>
      <c r="Q58" s="122">
        <f t="shared" si="52"/>
        <v>1.0074074074074073</v>
      </c>
      <c r="R58" s="123">
        <f t="shared" si="53"/>
        <v>1.0071605038292635</v>
      </c>
      <c r="S58" s="124" t="str">
        <f t="shared" si="54"/>
        <v>NS</v>
      </c>
      <c r="T58" s="125" t="str">
        <f t="shared" si="55"/>
        <v>NS</v>
      </c>
      <c r="U58" s="153" t="str">
        <f t="shared" si="56"/>
        <v>H2</v>
      </c>
      <c r="V58" s="126">
        <f t="shared" si="57"/>
        <v>1.1319562518689047E-2</v>
      </c>
      <c r="W58" s="127">
        <f t="shared" si="58"/>
        <v>137.53946050254171</v>
      </c>
      <c r="X58" s="150" t="s">
        <v>236</v>
      </c>
      <c r="Y58" s="150" t="s">
        <v>236</v>
      </c>
      <c r="Z58" s="150" t="s">
        <v>236</v>
      </c>
      <c r="AA58" s="131">
        <f t="shared" si="59"/>
        <v>156.46378147112063</v>
      </c>
      <c r="AB58" s="132" t="str">
        <f t="shared" si="60"/>
        <v/>
      </c>
      <c r="AC58" s="133">
        <f t="shared" si="61"/>
        <v>7.2446885320634454E-3</v>
      </c>
      <c r="AD58" s="133">
        <f t="shared" si="62"/>
        <v>1.2478866644767628E-2</v>
      </c>
      <c r="AE58" s="133">
        <f t="shared" si="63"/>
        <v>1.2617072602334209E-2</v>
      </c>
      <c r="AF58" s="134">
        <f t="shared" si="64"/>
        <v>0.77851267169056271</v>
      </c>
      <c r="AG58" s="135">
        <f>Données!G38</f>
        <v>0</v>
      </c>
      <c r="AH58" s="136">
        <f>Données!H38</f>
        <v>0</v>
      </c>
      <c r="AI58" s="107"/>
      <c r="AJ58" s="154" t="str">
        <f t="shared" si="65"/>
        <v/>
      </c>
      <c r="AK58" s="155" t="str">
        <f t="shared" si="66"/>
        <v/>
      </c>
      <c r="AL58" s="156"/>
      <c r="AM58" s="157"/>
      <c r="AN58" s="107"/>
      <c r="AO58" s="158" t="str">
        <f t="shared" si="67"/>
        <v/>
      </c>
    </row>
    <row r="59" spans="1:41" ht="16.95" customHeight="1" x14ac:dyDescent="0.3">
      <c r="A59" s="110" t="s">
        <v>150</v>
      </c>
      <c r="B59" s="137">
        <f>Données!B39</f>
        <v>103</v>
      </c>
      <c r="C59" s="137">
        <f>Données!C39</f>
        <v>104</v>
      </c>
      <c r="D59" s="137">
        <f>Données!D39</f>
        <v>105</v>
      </c>
      <c r="E59" s="137">
        <f>Données!E39</f>
        <v>121</v>
      </c>
      <c r="F59" s="137">
        <f>Données!F39</f>
        <v>139</v>
      </c>
      <c r="G59" s="137">
        <f>IF(ABS(B59-TREND($B59:$F59,{1,2,3,4,5},1))/ABS(TREND($B59:$F59,{1,2,3,4,5},1))&gt;$B$5,TREND($B59:$F59,{1,2,3,4,5},1),B59)</f>
        <v>103</v>
      </c>
      <c r="H59" s="137">
        <f>IF(ABS(C59-TREND($B59:$F59,{1,2,3,4,5},2))/ABS(TREND($B59:$F59,{1,2,3,4,5},2))&gt;$B$5,TREND($B59:$F59,{1,2,3,4,5},2),C59)</f>
        <v>104</v>
      </c>
      <c r="I59" s="137">
        <f>IF(ABS(D59-TREND($B59:$F59,{1,2,3,4,5},3))/ABS(TREND($B59:$F59,{1,2,3,4,5},3))&gt;$B$5,TREND($B59:$F59,{1,2,3,4,5},3),D59)</f>
        <v>105</v>
      </c>
      <c r="J59" s="137">
        <f>IF(ABS(E59-TREND($B59:$F59,{1,2,3,4,5},4))/ABS(TREND($B59:$F59,{1,2,3,4,5},4))&gt;$B$5,TREND($B59:$F59,{1,2,3,4,5},4),E59)</f>
        <v>121</v>
      </c>
      <c r="K59" s="137">
        <f>IF(ABS(F59-TREND($B59:$F59,{1,2,3,4,5},5))/ABS(TREND($B59:$F59,{1,2,3,4,5},5))&gt;$B$5,TREND($B59:$F59,{1,2,3,4,5},5),F59)</f>
        <v>139</v>
      </c>
      <c r="L59" s="138" t="str">
        <f>IF(AND(ABS(B59-TREND($B59:$F59,{1,2,3,4,5},1))/ABS(TREND($B59:$F59,{1,2,3,4,5},1))&gt;$B$5&lt;=$B$5,ABS(C59-TREND($B59:$F59,{1,2,3,4,5},2))/ABS(TREND($B59:$F59,{1,2,3,4,5},2))&gt;$B$5&lt;=$B$5,ABS(D59-TREND($B59:$F59,{1,2,3,4,5},3))/ABS(TREND($B59:$F59,{1,2,3,4,5},3))&gt;$B$5&lt;=$B$5,ABS(E59-TREND($B59:$F59,{1,2,3,4,5},4))/ABS(TREND($B59:$F59,{1,2,3,4,5},4))&gt;$B$5&lt;=$B$5,ABS(F59-TREND($B59:$F59,{1,2,3,4,5},5))/ABS(TREND($B59:$F59,{1,2,3,4,5},5))&gt;$B$5&lt;=$B$5),"✓",TRIM(IF(ABS(B59-TREND($B59:$F59,{1,2,3,4,5},1))/ABS(TREND($B59:$F59,{1,2,3,4,5},1))&gt;$B$5,"⚠Y-5 ","")&amp;IF(ABS(C59-TREND($B59:$F59,{1,2,3,4,5},2))/ABS(TREND($B59:$F59,{1,2,3,4,5},2))&gt;$B$5,"⚠Y-4 ","")&amp;IF(ABS(D59-TREND($B59:$F59,{1,2,3,4,5},3))/ABS(TREND($B59:$F59,{1,2,3,4,5},3))&gt;$B$5,"⚠Y-3 ","")&amp;IF(ABS(E59-TREND($B59:$F59,{1,2,3,4,5},4))/ABS(TREND($B59:$F59,{1,2,3,4,5},4))&gt;$B$5,"⚠Y-2 ","")&amp;IF(ABS(F59-TREND($B59:$F59,{1,2,3,4,5},5))/ABS(TREND($B59:$F59,{1,2,3,4,5},5))&gt;$B$5,"⚠Y-1 ","")))</f>
        <v/>
      </c>
      <c r="M59" s="139">
        <f t="shared" si="48"/>
        <v>1.0282861896838602</v>
      </c>
      <c r="N59" s="139">
        <f t="shared" si="49"/>
        <v>1.0280065897858319</v>
      </c>
      <c r="O59" s="139">
        <f t="shared" si="50"/>
        <v>1.0277324632952691</v>
      </c>
      <c r="P59" s="139">
        <f t="shared" si="51"/>
        <v>1.0305180979418027</v>
      </c>
      <c r="Q59" s="139">
        <f t="shared" si="52"/>
        <v>1.0296296296296297</v>
      </c>
      <c r="R59" s="123">
        <f t="shared" si="53"/>
        <v>1.0292932723602419</v>
      </c>
      <c r="S59" s="124" t="str">
        <f t="shared" si="54"/>
        <v>NS</v>
      </c>
      <c r="T59" s="125" t="str">
        <f t="shared" si="55"/>
        <v>NS</v>
      </c>
      <c r="U59" s="153" t="str">
        <f t="shared" si="56"/>
        <v>H2</v>
      </c>
      <c r="V59" s="126">
        <f t="shared" si="57"/>
        <v>1.1319562518689047E-2</v>
      </c>
      <c r="W59" s="127">
        <f t="shared" si="58"/>
        <v>140.57341919009778</v>
      </c>
      <c r="X59" s="151" t="s">
        <v>236</v>
      </c>
      <c r="Y59" s="151" t="s">
        <v>236</v>
      </c>
      <c r="Z59" s="151" t="s">
        <v>236</v>
      </c>
      <c r="AA59" s="131">
        <f t="shared" si="59"/>
        <v>159.82866587957497</v>
      </c>
      <c r="AB59" s="143" t="str">
        <f t="shared" si="60"/>
        <v/>
      </c>
      <c r="AC59" s="133">
        <f t="shared" si="61"/>
        <v>7.2446885320634454E-3</v>
      </c>
      <c r="AD59" s="133">
        <f t="shared" si="62"/>
        <v>1.2478866644767628E-2</v>
      </c>
      <c r="AE59" s="133">
        <f t="shared" si="63"/>
        <v>1.2617072602334209E-2</v>
      </c>
      <c r="AF59" s="134">
        <f t="shared" si="64"/>
        <v>0.77851267169056271</v>
      </c>
      <c r="AG59" s="144">
        <f>Données!G39</f>
        <v>0</v>
      </c>
      <c r="AH59" s="145">
        <f>Données!H39</f>
        <v>0</v>
      </c>
      <c r="AI59" s="107"/>
      <c r="AJ59" s="159" t="str">
        <f t="shared" si="65"/>
        <v/>
      </c>
      <c r="AK59" s="160" t="str">
        <f t="shared" si="66"/>
        <v/>
      </c>
      <c r="AL59" s="161" t="str">
        <f t="shared" ref="AL59:AL67" si="68">IF(OR(AJ56="",AJ57="",AJ58=""),"",IF(AND(SIGN(AJ56)=SIGN(AJ57),SIGN(AJ57)=SIGN(AJ58),ABS(AJ56)&gt;$B$16,ABS(AJ57)&gt;$B$16,ABS(AJ58)&gt;$B$16),"⚠ Ajuster ce mois de "&amp;TEXT(AVERAGE(AJ56:AJ58),"+0.0%;-0.0%")&amp;" (biais 3 mois précédents)",""))</f>
        <v/>
      </c>
      <c r="AM59" s="162" t="str">
        <f t="shared" ref="AM59:AM67" si="69">IF(OR(AK56="",AK57="",AK58=""),"",IF(AND(SIGN(AK56)=SIGN(AK57),SIGN(AK57)=SIGN(AK58),ABS(AK56)&gt;$B$16,ABS(AK57)&gt;$B$16,ABS(AK58)&gt;$B$16),"⚠ Ajuster ce mois de "&amp;TEXT(AVERAGE(AK56:AK58),"+0.0%;-0.0%")&amp;" (biais 3 mois précédents)",""))</f>
        <v/>
      </c>
      <c r="AN59" s="107"/>
      <c r="AO59" s="163" t="str">
        <f t="shared" si="67"/>
        <v/>
      </c>
    </row>
    <row r="60" spans="1:41" ht="16.95" customHeight="1" x14ac:dyDescent="0.3">
      <c r="A60" s="106" t="s">
        <v>151</v>
      </c>
      <c r="B60" s="120">
        <f>Données!B40</f>
        <v>100</v>
      </c>
      <c r="C60" s="120">
        <f>Données!C40</f>
        <v>101</v>
      </c>
      <c r="D60" s="120">
        <f>Données!D40</f>
        <v>102</v>
      </c>
      <c r="E60" s="120">
        <f>Données!E40</f>
        <v>117</v>
      </c>
      <c r="F60" s="120">
        <f>Données!F40</f>
        <v>135</v>
      </c>
      <c r="G60" s="120">
        <f>IF(ABS(B60-TREND($B60:$F60,{1,2,3,4,5},1))/ABS(TREND($B60:$F60,{1,2,3,4,5},1))&gt;$B$5,TREND($B60:$F60,{1,2,3,4,5},1),B60)</f>
        <v>100</v>
      </c>
      <c r="H60" s="120">
        <f>IF(ABS(C60-TREND($B60:$F60,{1,2,3,4,5},2))/ABS(TREND($B60:$F60,{1,2,3,4,5},2))&gt;$B$5,TREND($B60:$F60,{1,2,3,4,5},2),C60)</f>
        <v>101</v>
      </c>
      <c r="I60" s="120">
        <f>IF(ABS(D60-TREND($B60:$F60,{1,2,3,4,5},3))/ABS(TREND($B60:$F60,{1,2,3,4,5},3))&gt;$B$5,TREND($B60:$F60,{1,2,3,4,5},3),D60)</f>
        <v>102</v>
      </c>
      <c r="J60" s="120">
        <f>IF(ABS(E60-TREND($B60:$F60,{1,2,3,4,5},4))/ABS(TREND($B60:$F60,{1,2,3,4,5},4))&gt;$B$5,TREND($B60:$F60,{1,2,3,4,5},4),E60)</f>
        <v>117</v>
      </c>
      <c r="K60" s="120">
        <f>IF(ABS(F60-TREND($B60:$F60,{1,2,3,4,5},5))/ABS(TREND($B60:$F60,{1,2,3,4,5},5))&gt;$B$5,TREND($B60:$F60,{1,2,3,4,5},5),F60)</f>
        <v>135</v>
      </c>
      <c r="L60" s="121" t="str">
        <f>IF(AND(ABS(B60-TREND($B60:$F60,{1,2,3,4,5},1))/ABS(TREND($B60:$F60,{1,2,3,4,5},1))&gt;$B$5&lt;=$B$5,ABS(C60-TREND($B60:$F60,{1,2,3,4,5},2))/ABS(TREND($B60:$F60,{1,2,3,4,5},2))&gt;$B$5&lt;=$B$5,ABS(D60-TREND($B60:$F60,{1,2,3,4,5},3))/ABS(TREND($B60:$F60,{1,2,3,4,5},3))&gt;$B$5&lt;=$B$5,ABS(E60-TREND($B60:$F60,{1,2,3,4,5},4))/ABS(TREND($B60:$F60,{1,2,3,4,5},4))&gt;$B$5&lt;=$B$5,ABS(F60-TREND($B60:$F60,{1,2,3,4,5},5))/ABS(TREND($B60:$F60,{1,2,3,4,5},5))&gt;$B$5&lt;=$B$5),"✓",TRIM(IF(ABS(B60-TREND($B60:$F60,{1,2,3,4,5},1))/ABS(TREND($B60:$F60,{1,2,3,4,5},1))&gt;$B$5,"⚠Y-5 ","")&amp;IF(ABS(C60-TREND($B60:$F60,{1,2,3,4,5},2))/ABS(TREND($B60:$F60,{1,2,3,4,5},2))&gt;$B$5,"⚠Y-4 ","")&amp;IF(ABS(D60-TREND($B60:$F60,{1,2,3,4,5},3))/ABS(TREND($B60:$F60,{1,2,3,4,5},3))&gt;$B$5,"⚠Y-3 ","")&amp;IF(ABS(E60-TREND($B60:$F60,{1,2,3,4,5},4))/ABS(TREND($B60:$F60,{1,2,3,4,5},4))&gt;$B$5,"⚠Y-2 ","")&amp;IF(ABS(F60-TREND($B60:$F60,{1,2,3,4,5},5))/ABS(TREND($B60:$F60,{1,2,3,4,5},5))&gt;$B$5,"⚠Y-1 ","")))</f>
        <v/>
      </c>
      <c r="M60" s="122">
        <f t="shared" si="48"/>
        <v>0.99833610648918469</v>
      </c>
      <c r="N60" s="122">
        <f t="shared" si="49"/>
        <v>0.9983525535420098</v>
      </c>
      <c r="O60" s="122">
        <f t="shared" si="50"/>
        <v>0.99836867862969003</v>
      </c>
      <c r="P60" s="122">
        <f t="shared" si="51"/>
        <v>0.99645138396025545</v>
      </c>
      <c r="Q60" s="122">
        <f t="shared" si="52"/>
        <v>1</v>
      </c>
      <c r="R60" s="123">
        <f t="shared" si="53"/>
        <v>0.99879763926516485</v>
      </c>
      <c r="S60" s="124" t="str">
        <f t="shared" si="54"/>
        <v>NS</v>
      </c>
      <c r="T60" s="125" t="str">
        <f t="shared" si="55"/>
        <v>NS</v>
      </c>
      <c r="U60" s="153" t="str">
        <f t="shared" si="56"/>
        <v>H2</v>
      </c>
      <c r="V60" s="126">
        <f t="shared" si="57"/>
        <v>1.1319562518689047E-2</v>
      </c>
      <c r="W60" s="127">
        <f t="shared" si="58"/>
        <v>136.52814094002301</v>
      </c>
      <c r="X60" s="150" t="s">
        <v>236</v>
      </c>
      <c r="Y60" s="150" t="s">
        <v>236</v>
      </c>
      <c r="Z60" s="150" t="s">
        <v>236</v>
      </c>
      <c r="AA60" s="131">
        <f t="shared" si="59"/>
        <v>155.49434389140274</v>
      </c>
      <c r="AB60" s="132" t="str">
        <f t="shared" si="60"/>
        <v/>
      </c>
      <c r="AC60" s="133">
        <f t="shared" si="61"/>
        <v>7.2446885320634454E-3</v>
      </c>
      <c r="AD60" s="133">
        <f t="shared" si="62"/>
        <v>1.2478866644767628E-2</v>
      </c>
      <c r="AE60" s="133">
        <f t="shared" si="63"/>
        <v>1.2617072602334209E-2</v>
      </c>
      <c r="AF60" s="134">
        <f t="shared" si="64"/>
        <v>0.77851267169056271</v>
      </c>
      <c r="AG60" s="135">
        <f>Données!G40</f>
        <v>0</v>
      </c>
      <c r="AH60" s="136">
        <f>Données!H40</f>
        <v>0</v>
      </c>
      <c r="AI60" s="107"/>
      <c r="AJ60" s="154" t="str">
        <f t="shared" si="65"/>
        <v/>
      </c>
      <c r="AK60" s="155" t="str">
        <f t="shared" si="66"/>
        <v/>
      </c>
      <c r="AL60" s="156" t="str">
        <f t="shared" si="68"/>
        <v/>
      </c>
      <c r="AM60" s="157" t="str">
        <f t="shared" si="69"/>
        <v/>
      </c>
      <c r="AN60" s="107"/>
      <c r="AO60" s="158" t="str">
        <f t="shared" si="67"/>
        <v/>
      </c>
    </row>
    <row r="61" spans="1:41" ht="16.95" customHeight="1" x14ac:dyDescent="0.3">
      <c r="A61" s="110" t="s">
        <v>152</v>
      </c>
      <c r="B61" s="137">
        <f>Données!B41</f>
        <v>98</v>
      </c>
      <c r="C61" s="137">
        <f>Données!C41</f>
        <v>99</v>
      </c>
      <c r="D61" s="137">
        <f>Données!D41</f>
        <v>100</v>
      </c>
      <c r="E61" s="137">
        <f>Données!E41</f>
        <v>115</v>
      </c>
      <c r="F61" s="137">
        <f>Données!F41</f>
        <v>132</v>
      </c>
      <c r="G61" s="137">
        <f>IF(ABS(B61-TREND($B61:$F61,{1,2,3,4,5},1))/ABS(TREND($B61:$F61,{1,2,3,4,5},1))&gt;$B$5,TREND($B61:$F61,{1,2,3,4,5},1),B61)</f>
        <v>98</v>
      </c>
      <c r="H61" s="137">
        <f>IF(ABS(C61-TREND($B61:$F61,{1,2,3,4,5},2))/ABS(TREND($B61:$F61,{1,2,3,4,5},2))&gt;$B$5,TREND($B61:$F61,{1,2,3,4,5},2),C61)</f>
        <v>99</v>
      </c>
      <c r="I61" s="137">
        <f>IF(ABS(D61-TREND($B61:$F61,{1,2,3,4,5},3))/ABS(TREND($B61:$F61,{1,2,3,4,5},3))&gt;$B$5,TREND($B61:$F61,{1,2,3,4,5},3),D61)</f>
        <v>100</v>
      </c>
      <c r="J61" s="137">
        <f>IF(ABS(E61-TREND($B61:$F61,{1,2,3,4,5},4))/ABS(TREND($B61:$F61,{1,2,3,4,5},4))&gt;$B$5,TREND($B61:$F61,{1,2,3,4,5},4),E61)</f>
        <v>115</v>
      </c>
      <c r="K61" s="137">
        <f>IF(ABS(F61-TREND($B61:$F61,{1,2,3,4,5},5))/ABS(TREND($B61:$F61,{1,2,3,4,5},5))&gt;$B$5,TREND($B61:$F61,{1,2,3,4,5},5),F61)</f>
        <v>132</v>
      </c>
      <c r="L61" s="138" t="str">
        <f>IF(AND(ABS(B61-TREND($B61:$F61,{1,2,3,4,5},1))/ABS(TREND($B61:$F61,{1,2,3,4,5},1))&gt;$B$5&lt;=$B$5,ABS(C61-TREND($B61:$F61,{1,2,3,4,5},2))/ABS(TREND($B61:$F61,{1,2,3,4,5},2))&gt;$B$5&lt;=$B$5,ABS(D61-TREND($B61:$F61,{1,2,3,4,5},3))/ABS(TREND($B61:$F61,{1,2,3,4,5},3))&gt;$B$5&lt;=$B$5,ABS(E61-TREND($B61:$F61,{1,2,3,4,5},4))/ABS(TREND($B61:$F61,{1,2,3,4,5},4))&gt;$B$5&lt;=$B$5,ABS(F61-TREND($B61:$F61,{1,2,3,4,5},5))/ABS(TREND($B61:$F61,{1,2,3,4,5},5))&gt;$B$5&lt;=$B$5),"✓",TRIM(IF(ABS(B61-TREND($B61:$F61,{1,2,3,4,5},1))/ABS(TREND($B61:$F61,{1,2,3,4,5},1))&gt;$B$5,"⚠Y-5 ","")&amp;IF(ABS(C61-TREND($B61:$F61,{1,2,3,4,5},2))/ABS(TREND($B61:$F61,{1,2,3,4,5},2))&gt;$B$5,"⚠Y-4 ","")&amp;IF(ABS(D61-TREND($B61:$F61,{1,2,3,4,5},3))/ABS(TREND($B61:$F61,{1,2,3,4,5},3))&gt;$B$5,"⚠Y-3 ","")&amp;IF(ABS(E61-TREND($B61:$F61,{1,2,3,4,5},4))/ABS(TREND($B61:$F61,{1,2,3,4,5},4))&gt;$B$5,"⚠Y-2 ","")&amp;IF(ABS(F61-TREND($B61:$F61,{1,2,3,4,5},5))/ABS(TREND($B61:$F61,{1,2,3,4,5},5))&gt;$B$5,"⚠Y-1 ","")))</f>
        <v/>
      </c>
      <c r="M61" s="139">
        <f t="shared" si="48"/>
        <v>0.97836938435940091</v>
      </c>
      <c r="N61" s="139">
        <f t="shared" si="49"/>
        <v>0.97858319604612842</v>
      </c>
      <c r="O61" s="139">
        <f t="shared" si="50"/>
        <v>0.97879282218597063</v>
      </c>
      <c r="P61" s="139">
        <f t="shared" si="51"/>
        <v>0.97941802696948188</v>
      </c>
      <c r="Q61" s="139">
        <f t="shared" si="52"/>
        <v>0.97777777777777775</v>
      </c>
      <c r="R61" s="123">
        <f t="shared" si="53"/>
        <v>0.97836820643326372</v>
      </c>
      <c r="S61" s="124" t="str">
        <f t="shared" si="54"/>
        <v>NS</v>
      </c>
      <c r="T61" s="125" t="str">
        <f t="shared" si="55"/>
        <v>NS</v>
      </c>
      <c r="U61" s="153" t="str">
        <f t="shared" si="56"/>
        <v>H2</v>
      </c>
      <c r="V61" s="126">
        <f t="shared" si="57"/>
        <v>1.1319562518689047E-2</v>
      </c>
      <c r="W61" s="127">
        <f t="shared" si="58"/>
        <v>133.49418225246694</v>
      </c>
      <c r="X61" s="151" t="s">
        <v>236</v>
      </c>
      <c r="Y61" s="151" t="s">
        <v>236</v>
      </c>
      <c r="Z61" s="151" t="s">
        <v>236</v>
      </c>
      <c r="AA61" s="131">
        <f t="shared" si="59"/>
        <v>151.59913043478264</v>
      </c>
      <c r="AB61" s="143" t="str">
        <f t="shared" si="60"/>
        <v/>
      </c>
      <c r="AC61" s="133">
        <f t="shared" si="61"/>
        <v>7.2446885320634454E-3</v>
      </c>
      <c r="AD61" s="133">
        <f t="shared" si="62"/>
        <v>1.2478866644767628E-2</v>
      </c>
      <c r="AE61" s="133">
        <f t="shared" si="63"/>
        <v>1.2617072602334209E-2</v>
      </c>
      <c r="AF61" s="134">
        <f t="shared" si="64"/>
        <v>0.77851267169056271</v>
      </c>
      <c r="AG61" s="144">
        <f>Données!G41</f>
        <v>0</v>
      </c>
      <c r="AH61" s="145">
        <f>Données!H41</f>
        <v>0</v>
      </c>
      <c r="AI61" s="107"/>
      <c r="AJ61" s="159" t="str">
        <f t="shared" si="65"/>
        <v/>
      </c>
      <c r="AK61" s="160" t="str">
        <f t="shared" si="66"/>
        <v/>
      </c>
      <c r="AL61" s="161" t="str">
        <f t="shared" si="68"/>
        <v/>
      </c>
      <c r="AM61" s="162" t="str">
        <f t="shared" si="69"/>
        <v/>
      </c>
      <c r="AN61" s="107"/>
      <c r="AO61" s="163" t="str">
        <f t="shared" si="67"/>
        <v/>
      </c>
    </row>
    <row r="62" spans="1:41" ht="16.95" customHeight="1" x14ac:dyDescent="0.3">
      <c r="A62" s="106" t="s">
        <v>153</v>
      </c>
      <c r="B62" s="120">
        <f>Données!B42</f>
        <v>102</v>
      </c>
      <c r="C62" s="120">
        <f>Données!C42</f>
        <v>103</v>
      </c>
      <c r="D62" s="120">
        <f>Données!D42</f>
        <v>104</v>
      </c>
      <c r="E62" s="120">
        <f>Données!E42</f>
        <v>120</v>
      </c>
      <c r="F62" s="120">
        <f>Données!F42</f>
        <v>138</v>
      </c>
      <c r="G62" s="120">
        <f>IF(ABS(B62-TREND($B62:$F62,{1,2,3,4,5},1))/ABS(TREND($B62:$F62,{1,2,3,4,5},1))&gt;$B$5,TREND($B62:$F62,{1,2,3,4,5},1),B62)</f>
        <v>102</v>
      </c>
      <c r="H62" s="120">
        <f>IF(ABS(C62-TREND($B62:$F62,{1,2,3,4,5},2))/ABS(TREND($B62:$F62,{1,2,3,4,5},2))&gt;$B$5,TREND($B62:$F62,{1,2,3,4,5},2),C62)</f>
        <v>103</v>
      </c>
      <c r="I62" s="120">
        <f>IF(ABS(D62-TREND($B62:$F62,{1,2,3,4,5},3))/ABS(TREND($B62:$F62,{1,2,3,4,5},3))&gt;$B$5,TREND($B62:$F62,{1,2,3,4,5},3),D62)</f>
        <v>104</v>
      </c>
      <c r="J62" s="120">
        <f>IF(ABS(E62-TREND($B62:$F62,{1,2,3,4,5},4))/ABS(TREND($B62:$F62,{1,2,3,4,5},4))&gt;$B$5,TREND($B62:$F62,{1,2,3,4,5},4),E62)</f>
        <v>120</v>
      </c>
      <c r="K62" s="120">
        <f>IF(ABS(F62-TREND($B62:$F62,{1,2,3,4,5},5))/ABS(TREND($B62:$F62,{1,2,3,4,5},5))&gt;$B$5,TREND($B62:$F62,{1,2,3,4,5},5),F62)</f>
        <v>138</v>
      </c>
      <c r="L62" s="121" t="str">
        <f>IF(AND(ABS(B62-TREND($B62:$F62,{1,2,3,4,5},1))/ABS(TREND($B62:$F62,{1,2,3,4,5},1))&gt;$B$5&lt;=$B$5,ABS(C62-TREND($B62:$F62,{1,2,3,4,5},2))/ABS(TREND($B62:$F62,{1,2,3,4,5},2))&gt;$B$5&lt;=$B$5,ABS(D62-TREND($B62:$F62,{1,2,3,4,5},3))/ABS(TREND($B62:$F62,{1,2,3,4,5},3))&gt;$B$5&lt;=$B$5,ABS(E62-TREND($B62:$F62,{1,2,3,4,5},4))/ABS(TREND($B62:$F62,{1,2,3,4,5},4))&gt;$B$5&lt;=$B$5,ABS(F62-TREND($B62:$F62,{1,2,3,4,5},5))/ABS(TREND($B62:$F62,{1,2,3,4,5},5))&gt;$B$5&lt;=$B$5),"✓",TRIM(IF(ABS(B62-TREND($B62:$F62,{1,2,3,4,5},1))/ABS(TREND($B62:$F62,{1,2,3,4,5},1))&gt;$B$5,"⚠Y-5 ","")&amp;IF(ABS(C62-TREND($B62:$F62,{1,2,3,4,5},2))/ABS(TREND($B62:$F62,{1,2,3,4,5},2))&gt;$B$5,"⚠Y-4 ","")&amp;IF(ABS(D62-TREND($B62:$F62,{1,2,3,4,5},3))/ABS(TREND($B62:$F62,{1,2,3,4,5},3))&gt;$B$5,"⚠Y-3 ","")&amp;IF(ABS(E62-TREND($B62:$F62,{1,2,3,4,5},4))/ABS(TREND($B62:$F62,{1,2,3,4,5},4))&gt;$B$5,"⚠Y-2 ","")&amp;IF(ABS(F62-TREND($B62:$F62,{1,2,3,4,5},5))/ABS(TREND($B62:$F62,{1,2,3,4,5},5))&gt;$B$5,"⚠Y-1 ","")))</f>
        <v/>
      </c>
      <c r="M62" s="122">
        <f t="shared" si="48"/>
        <v>1.0183028286189684</v>
      </c>
      <c r="N62" s="122">
        <f t="shared" si="49"/>
        <v>1.0181219110378912</v>
      </c>
      <c r="O62" s="122">
        <f t="shared" si="50"/>
        <v>1.0179445350734093</v>
      </c>
      <c r="P62" s="122">
        <f t="shared" si="51"/>
        <v>1.0220014194464158</v>
      </c>
      <c r="Q62" s="122">
        <f t="shared" si="52"/>
        <v>1.0222222222222221</v>
      </c>
      <c r="R62" s="123">
        <f t="shared" si="53"/>
        <v>1.0209304077961432</v>
      </c>
      <c r="S62" s="124" t="str">
        <f t="shared" si="54"/>
        <v>NS</v>
      </c>
      <c r="T62" s="125" t="str">
        <f t="shared" si="55"/>
        <v>NS</v>
      </c>
      <c r="U62" s="153" t="str">
        <f t="shared" si="56"/>
        <v>H2</v>
      </c>
      <c r="V62" s="126">
        <f t="shared" si="57"/>
        <v>1.1319562518689047E-2</v>
      </c>
      <c r="W62" s="127">
        <f t="shared" si="58"/>
        <v>139.5620996275791</v>
      </c>
      <c r="X62" s="150" t="s">
        <v>236</v>
      </c>
      <c r="Y62" s="150" t="s">
        <v>236</v>
      </c>
      <c r="Z62" s="150" t="s">
        <v>236</v>
      </c>
      <c r="AA62" s="131">
        <f t="shared" si="59"/>
        <v>158.85923076923078</v>
      </c>
      <c r="AB62" s="132" t="str">
        <f t="shared" si="60"/>
        <v/>
      </c>
      <c r="AC62" s="133">
        <f t="shared" si="61"/>
        <v>7.2446885320634454E-3</v>
      </c>
      <c r="AD62" s="133">
        <f t="shared" si="62"/>
        <v>1.2478866644767628E-2</v>
      </c>
      <c r="AE62" s="133">
        <f t="shared" si="63"/>
        <v>1.2617072602334209E-2</v>
      </c>
      <c r="AF62" s="134">
        <f t="shared" si="64"/>
        <v>0.77851267169056271</v>
      </c>
      <c r="AG62" s="135">
        <f>Données!G42</f>
        <v>0</v>
      </c>
      <c r="AH62" s="136">
        <f>Données!H42</f>
        <v>0</v>
      </c>
      <c r="AI62" s="107"/>
      <c r="AJ62" s="154" t="str">
        <f t="shared" si="65"/>
        <v/>
      </c>
      <c r="AK62" s="155" t="str">
        <f t="shared" si="66"/>
        <v/>
      </c>
      <c r="AL62" s="156" t="str">
        <f t="shared" si="68"/>
        <v/>
      </c>
      <c r="AM62" s="157" t="str">
        <f t="shared" si="69"/>
        <v/>
      </c>
      <c r="AN62" s="107"/>
      <c r="AO62" s="158" t="str">
        <f t="shared" si="67"/>
        <v/>
      </c>
    </row>
    <row r="63" spans="1:41" ht="16.95" customHeight="1" x14ac:dyDescent="0.3">
      <c r="A63" s="110" t="s">
        <v>154</v>
      </c>
      <c r="B63" s="137">
        <f>Données!B43</f>
        <v>104</v>
      </c>
      <c r="C63" s="137">
        <f>Données!C43</f>
        <v>105</v>
      </c>
      <c r="D63" s="137">
        <f>Données!D43</f>
        <v>106</v>
      </c>
      <c r="E63" s="137">
        <f>Données!E43</f>
        <v>122</v>
      </c>
      <c r="F63" s="137">
        <f>Données!F43</f>
        <v>140</v>
      </c>
      <c r="G63" s="137">
        <f>IF(ABS(B63-TREND($B63:$F63,{1,2,3,4,5},1))/ABS(TREND($B63:$F63,{1,2,3,4,5},1))&gt;$B$5,TREND($B63:$F63,{1,2,3,4,5},1),B63)</f>
        <v>104</v>
      </c>
      <c r="H63" s="137">
        <f>IF(ABS(C63-TREND($B63:$F63,{1,2,3,4,5},2))/ABS(TREND($B63:$F63,{1,2,3,4,5},2))&gt;$B$5,TREND($B63:$F63,{1,2,3,4,5},2),C63)</f>
        <v>105</v>
      </c>
      <c r="I63" s="137">
        <f>IF(ABS(D63-TREND($B63:$F63,{1,2,3,4,5},3))/ABS(TREND($B63:$F63,{1,2,3,4,5},3))&gt;$B$5,TREND($B63:$F63,{1,2,3,4,5},3),D63)</f>
        <v>106</v>
      </c>
      <c r="J63" s="137">
        <f>IF(ABS(E63-TREND($B63:$F63,{1,2,3,4,5},4))/ABS(TREND($B63:$F63,{1,2,3,4,5},4))&gt;$B$5,TREND($B63:$F63,{1,2,3,4,5},4),E63)</f>
        <v>122</v>
      </c>
      <c r="K63" s="137">
        <f>IF(ABS(F63-TREND($B63:$F63,{1,2,3,4,5},5))/ABS(TREND($B63:$F63,{1,2,3,4,5},5))&gt;$B$5,TREND($B63:$F63,{1,2,3,4,5},5),F63)</f>
        <v>140</v>
      </c>
      <c r="L63" s="138" t="str">
        <f>IF(AND(ABS(B63-TREND($B63:$F63,{1,2,3,4,5},1))/ABS(TREND($B63:$F63,{1,2,3,4,5},1))&gt;$B$5&lt;=$B$5,ABS(C63-TREND($B63:$F63,{1,2,3,4,5},2))/ABS(TREND($B63:$F63,{1,2,3,4,5},2))&gt;$B$5&lt;=$B$5,ABS(D63-TREND($B63:$F63,{1,2,3,4,5},3))/ABS(TREND($B63:$F63,{1,2,3,4,5},3))&gt;$B$5&lt;=$B$5,ABS(E63-TREND($B63:$F63,{1,2,3,4,5},4))/ABS(TREND($B63:$F63,{1,2,3,4,5},4))&gt;$B$5&lt;=$B$5,ABS(F63-TREND($B63:$F63,{1,2,3,4,5},5))/ABS(TREND($B63:$F63,{1,2,3,4,5},5))&gt;$B$5&lt;=$B$5),"✓",TRIM(IF(ABS(B63-TREND($B63:$F63,{1,2,3,4,5},1))/ABS(TREND($B63:$F63,{1,2,3,4,5},1))&gt;$B$5,"⚠Y-5 ","")&amp;IF(ABS(C63-TREND($B63:$F63,{1,2,3,4,5},2))/ABS(TREND($B63:$F63,{1,2,3,4,5},2))&gt;$B$5,"⚠Y-4 ","")&amp;IF(ABS(D63-TREND($B63:$F63,{1,2,3,4,5},3))/ABS(TREND($B63:$F63,{1,2,3,4,5},3))&gt;$B$5,"⚠Y-3 ","")&amp;IF(ABS(E63-TREND($B63:$F63,{1,2,3,4,5},4))/ABS(TREND($B63:$F63,{1,2,3,4,5},4))&gt;$B$5,"⚠Y-2 ","")&amp;IF(ABS(F63-TREND($B63:$F63,{1,2,3,4,5},5))/ABS(TREND($B63:$F63,{1,2,3,4,5},5))&gt;$B$5,"⚠Y-1 ","")))</f>
        <v/>
      </c>
      <c r="M63" s="139">
        <f t="shared" si="48"/>
        <v>1.038269550748752</v>
      </c>
      <c r="N63" s="139">
        <f t="shared" si="49"/>
        <v>1.0378912685337727</v>
      </c>
      <c r="O63" s="139">
        <f t="shared" si="50"/>
        <v>1.0375203915171289</v>
      </c>
      <c r="P63" s="139">
        <f t="shared" si="51"/>
        <v>1.0390347764371894</v>
      </c>
      <c r="Q63" s="139">
        <f t="shared" si="52"/>
        <v>1.037037037037037</v>
      </c>
      <c r="R63" s="123">
        <f t="shared" si="53"/>
        <v>1.0376561369243404</v>
      </c>
      <c r="S63" s="124" t="str">
        <f t="shared" si="54"/>
        <v>NS</v>
      </c>
      <c r="T63" s="125" t="str">
        <f t="shared" si="55"/>
        <v>NS</v>
      </c>
      <c r="U63" s="153" t="str">
        <f t="shared" si="56"/>
        <v>H2</v>
      </c>
      <c r="V63" s="126">
        <f t="shared" si="57"/>
        <v>1.1319562518689047E-2</v>
      </c>
      <c r="W63" s="127">
        <f t="shared" si="58"/>
        <v>141.58473875261646</v>
      </c>
      <c r="X63" s="151" t="s">
        <v>236</v>
      </c>
      <c r="Y63" s="151" t="s">
        <v>236</v>
      </c>
      <c r="Z63" s="151" t="s">
        <v>236</v>
      </c>
      <c r="AA63" s="131">
        <f t="shared" si="59"/>
        <v>160.79863903495206</v>
      </c>
      <c r="AB63" s="143" t="str">
        <f t="shared" si="60"/>
        <v/>
      </c>
      <c r="AC63" s="133">
        <f t="shared" si="61"/>
        <v>7.2446885320634454E-3</v>
      </c>
      <c r="AD63" s="133">
        <f t="shared" si="62"/>
        <v>1.2478866644767628E-2</v>
      </c>
      <c r="AE63" s="133">
        <f t="shared" si="63"/>
        <v>1.2617072602334209E-2</v>
      </c>
      <c r="AF63" s="134">
        <f t="shared" si="64"/>
        <v>0.77851267169056271</v>
      </c>
      <c r="AG63" s="144">
        <f>Données!G43</f>
        <v>0</v>
      </c>
      <c r="AH63" s="145">
        <f>Données!H43</f>
        <v>0</v>
      </c>
      <c r="AI63" s="107"/>
      <c r="AJ63" s="159" t="str">
        <f t="shared" si="65"/>
        <v/>
      </c>
      <c r="AK63" s="160" t="str">
        <f t="shared" si="66"/>
        <v/>
      </c>
      <c r="AL63" s="161" t="str">
        <f t="shared" si="68"/>
        <v/>
      </c>
      <c r="AM63" s="162" t="str">
        <f t="shared" si="69"/>
        <v/>
      </c>
      <c r="AN63" s="107"/>
      <c r="AO63" s="163" t="str">
        <f t="shared" si="67"/>
        <v/>
      </c>
    </row>
    <row r="64" spans="1:41" ht="16.95" customHeight="1" x14ac:dyDescent="0.3">
      <c r="A64" s="106" t="s">
        <v>155</v>
      </c>
      <c r="B64" s="120">
        <f>Données!B44</f>
        <v>99</v>
      </c>
      <c r="C64" s="120">
        <f>Données!C44</f>
        <v>100</v>
      </c>
      <c r="D64" s="120">
        <f>Données!D44</f>
        <v>101</v>
      </c>
      <c r="E64" s="120">
        <f>Données!E44</f>
        <v>116</v>
      </c>
      <c r="F64" s="120">
        <f>Données!F44</f>
        <v>133</v>
      </c>
      <c r="G64" s="120">
        <f>IF(ABS(B64-TREND($B64:$F64,{1,2,3,4,5},1))/ABS(TREND($B64:$F64,{1,2,3,4,5},1))&gt;$B$5,TREND($B64:$F64,{1,2,3,4,5},1),B64)</f>
        <v>99</v>
      </c>
      <c r="H64" s="120">
        <f>IF(ABS(C64-TREND($B64:$F64,{1,2,3,4,5},2))/ABS(TREND($B64:$F64,{1,2,3,4,5},2))&gt;$B$5,TREND($B64:$F64,{1,2,3,4,5},2),C64)</f>
        <v>100</v>
      </c>
      <c r="I64" s="120">
        <f>IF(ABS(D64-TREND($B64:$F64,{1,2,3,4,5},3))/ABS(TREND($B64:$F64,{1,2,3,4,5},3))&gt;$B$5,TREND($B64:$F64,{1,2,3,4,5},3),D64)</f>
        <v>101</v>
      </c>
      <c r="J64" s="120">
        <f>IF(ABS(E64-TREND($B64:$F64,{1,2,3,4,5},4))/ABS(TREND($B64:$F64,{1,2,3,4,5},4))&gt;$B$5,TREND($B64:$F64,{1,2,3,4,5},4),E64)</f>
        <v>116</v>
      </c>
      <c r="K64" s="120">
        <f>IF(ABS(F64-TREND($B64:$F64,{1,2,3,4,5},5))/ABS(TREND($B64:$F64,{1,2,3,4,5},5))&gt;$B$5,TREND($B64:$F64,{1,2,3,4,5},5),F64)</f>
        <v>133</v>
      </c>
      <c r="L64" s="121" t="str">
        <f>IF(AND(ABS(B64-TREND($B64:$F64,{1,2,3,4,5},1))/ABS(TREND($B64:$F64,{1,2,3,4,5},1))&gt;$B$5&lt;=$B$5,ABS(C64-TREND($B64:$F64,{1,2,3,4,5},2))/ABS(TREND($B64:$F64,{1,2,3,4,5},2))&gt;$B$5&lt;=$B$5,ABS(D64-TREND($B64:$F64,{1,2,3,4,5},3))/ABS(TREND($B64:$F64,{1,2,3,4,5},3))&gt;$B$5&lt;=$B$5,ABS(E64-TREND($B64:$F64,{1,2,3,4,5},4))/ABS(TREND($B64:$F64,{1,2,3,4,5},4))&gt;$B$5&lt;=$B$5,ABS(F64-TREND($B64:$F64,{1,2,3,4,5},5))/ABS(TREND($B64:$F64,{1,2,3,4,5},5))&gt;$B$5&lt;=$B$5),"✓",TRIM(IF(ABS(B64-TREND($B64:$F64,{1,2,3,4,5},1))/ABS(TREND($B64:$F64,{1,2,3,4,5},1))&gt;$B$5,"⚠Y-5 ","")&amp;IF(ABS(C64-TREND($B64:$F64,{1,2,3,4,5},2))/ABS(TREND($B64:$F64,{1,2,3,4,5},2))&gt;$B$5,"⚠Y-4 ","")&amp;IF(ABS(D64-TREND($B64:$F64,{1,2,3,4,5},3))/ABS(TREND($B64:$F64,{1,2,3,4,5},3))&gt;$B$5,"⚠Y-3 ","")&amp;IF(ABS(E64-TREND($B64:$F64,{1,2,3,4,5},4))/ABS(TREND($B64:$F64,{1,2,3,4,5},4))&gt;$B$5,"⚠Y-2 ","")&amp;IF(ABS(F64-TREND($B64:$F64,{1,2,3,4,5},5))/ABS(TREND($B64:$F64,{1,2,3,4,5},5))&gt;$B$5,"⚠Y-1 ","")))</f>
        <v/>
      </c>
      <c r="M64" s="122">
        <f t="shared" si="48"/>
        <v>0.98835274542429274</v>
      </c>
      <c r="N64" s="122">
        <f t="shared" si="49"/>
        <v>0.98846787479406917</v>
      </c>
      <c r="O64" s="122">
        <f t="shared" si="50"/>
        <v>0.98858075040783033</v>
      </c>
      <c r="P64" s="122">
        <f t="shared" si="51"/>
        <v>0.98793470546486861</v>
      </c>
      <c r="Q64" s="122">
        <f t="shared" si="52"/>
        <v>0.98518518518518516</v>
      </c>
      <c r="R64" s="123">
        <f t="shared" si="53"/>
        <v>0.98673107099736246</v>
      </c>
      <c r="S64" s="124" t="str">
        <f t="shared" si="54"/>
        <v>NS</v>
      </c>
      <c r="T64" s="125" t="str">
        <f t="shared" si="55"/>
        <v>NS</v>
      </c>
      <c r="U64" s="153" t="str">
        <f t="shared" si="56"/>
        <v>H2</v>
      </c>
      <c r="V64" s="126">
        <f t="shared" si="57"/>
        <v>1.1319562518689047E-2</v>
      </c>
      <c r="W64" s="127">
        <f t="shared" si="58"/>
        <v>134.50550181498565</v>
      </c>
      <c r="X64" s="150" t="s">
        <v>236</v>
      </c>
      <c r="Y64" s="150" t="s">
        <v>236</v>
      </c>
      <c r="Z64" s="150" t="s">
        <v>236</v>
      </c>
      <c r="AA64" s="131">
        <f t="shared" si="59"/>
        <v>152.56970809149882</v>
      </c>
      <c r="AB64" s="132" t="str">
        <f t="shared" si="60"/>
        <v/>
      </c>
      <c r="AC64" s="133">
        <f t="shared" si="61"/>
        <v>7.2446885320634454E-3</v>
      </c>
      <c r="AD64" s="133">
        <f t="shared" si="62"/>
        <v>1.2478866644767628E-2</v>
      </c>
      <c r="AE64" s="133">
        <f t="shared" si="63"/>
        <v>1.2617072602334209E-2</v>
      </c>
      <c r="AF64" s="134">
        <f t="shared" si="64"/>
        <v>0.77851267169056271</v>
      </c>
      <c r="AG64" s="135">
        <f>Données!G44</f>
        <v>0</v>
      </c>
      <c r="AH64" s="136">
        <f>Données!H44</f>
        <v>0</v>
      </c>
      <c r="AI64" s="107"/>
      <c r="AJ64" s="154" t="str">
        <f t="shared" si="65"/>
        <v/>
      </c>
      <c r="AK64" s="155" t="str">
        <f t="shared" si="66"/>
        <v/>
      </c>
      <c r="AL64" s="156" t="str">
        <f t="shared" si="68"/>
        <v/>
      </c>
      <c r="AM64" s="157" t="str">
        <f t="shared" si="69"/>
        <v/>
      </c>
      <c r="AN64" s="107"/>
      <c r="AO64" s="158" t="str">
        <f t="shared" si="67"/>
        <v/>
      </c>
    </row>
    <row r="65" spans="1:41" ht="16.95" customHeight="1" x14ac:dyDescent="0.3">
      <c r="A65" s="110" t="s">
        <v>156</v>
      </c>
      <c r="B65" s="137">
        <f>Données!B45</f>
        <v>101</v>
      </c>
      <c r="C65" s="137">
        <f>Données!C45</f>
        <v>102</v>
      </c>
      <c r="D65" s="137">
        <f>Données!D45</f>
        <v>103</v>
      </c>
      <c r="E65" s="137">
        <f>Données!E45</f>
        <v>118</v>
      </c>
      <c r="F65" s="137">
        <f>Données!F45</f>
        <v>136</v>
      </c>
      <c r="G65" s="137">
        <f>IF(ABS(B65-TREND($B65:$F65,{1,2,3,4,5},1))/ABS(TREND($B65:$F65,{1,2,3,4,5},1))&gt;$B$5,TREND($B65:$F65,{1,2,3,4,5},1),B65)</f>
        <v>101</v>
      </c>
      <c r="H65" s="137">
        <f>IF(ABS(C65-TREND($B65:$F65,{1,2,3,4,5},2))/ABS(TREND($B65:$F65,{1,2,3,4,5},2))&gt;$B$5,TREND($B65:$F65,{1,2,3,4,5},2),C65)</f>
        <v>102</v>
      </c>
      <c r="I65" s="137">
        <f>IF(ABS(D65-TREND($B65:$F65,{1,2,3,4,5},3))/ABS(TREND($B65:$F65,{1,2,3,4,5},3))&gt;$B$5,TREND($B65:$F65,{1,2,3,4,5},3),D65)</f>
        <v>103</v>
      </c>
      <c r="J65" s="137">
        <f>IF(ABS(E65-TREND($B65:$F65,{1,2,3,4,5},4))/ABS(TREND($B65:$F65,{1,2,3,4,5},4))&gt;$B$5,TREND($B65:$F65,{1,2,3,4,5},4),E65)</f>
        <v>118</v>
      </c>
      <c r="K65" s="137">
        <f>IF(ABS(F65-TREND($B65:$F65,{1,2,3,4,5},5))/ABS(TREND($B65:$F65,{1,2,3,4,5},5))&gt;$B$5,TREND($B65:$F65,{1,2,3,4,5},5),F65)</f>
        <v>136</v>
      </c>
      <c r="L65" s="138" t="str">
        <f>IF(AND(ABS(B65-TREND($B65:$F65,{1,2,3,4,5},1))/ABS(TREND($B65:$F65,{1,2,3,4,5},1))&gt;$B$5&lt;=$B$5,ABS(C65-TREND($B65:$F65,{1,2,3,4,5},2))/ABS(TREND($B65:$F65,{1,2,3,4,5},2))&gt;$B$5&lt;=$B$5,ABS(D65-TREND($B65:$F65,{1,2,3,4,5},3))/ABS(TREND($B65:$F65,{1,2,3,4,5},3))&gt;$B$5&lt;=$B$5,ABS(E65-TREND($B65:$F65,{1,2,3,4,5},4))/ABS(TREND($B65:$F65,{1,2,3,4,5},4))&gt;$B$5&lt;=$B$5,ABS(F65-TREND($B65:$F65,{1,2,3,4,5},5))/ABS(TREND($B65:$F65,{1,2,3,4,5},5))&gt;$B$5&lt;=$B$5),"✓",TRIM(IF(ABS(B65-TREND($B65:$F65,{1,2,3,4,5},1))/ABS(TREND($B65:$F65,{1,2,3,4,5},1))&gt;$B$5,"⚠Y-5 ","")&amp;IF(ABS(C65-TREND($B65:$F65,{1,2,3,4,5},2))/ABS(TREND($B65:$F65,{1,2,3,4,5},2))&gt;$B$5,"⚠Y-4 ","")&amp;IF(ABS(D65-TREND($B65:$F65,{1,2,3,4,5},3))/ABS(TREND($B65:$F65,{1,2,3,4,5},3))&gt;$B$5,"⚠Y-3 ","")&amp;IF(ABS(E65-TREND($B65:$F65,{1,2,3,4,5},4))/ABS(TREND($B65:$F65,{1,2,3,4,5},4))&gt;$B$5,"⚠Y-2 ","")&amp;IF(ABS(F65-TREND($B65:$F65,{1,2,3,4,5},5))/ABS(TREND($B65:$F65,{1,2,3,4,5},5))&gt;$B$5,"⚠Y-1 ","")))</f>
        <v/>
      </c>
      <c r="M65" s="139">
        <f t="shared" si="48"/>
        <v>1.0083194675540765</v>
      </c>
      <c r="N65" s="139">
        <f t="shared" si="49"/>
        <v>1.0082372322899504</v>
      </c>
      <c r="O65" s="139">
        <f t="shared" si="50"/>
        <v>1.0081566068515497</v>
      </c>
      <c r="P65" s="139">
        <f t="shared" si="51"/>
        <v>1.0049680624556423</v>
      </c>
      <c r="Q65" s="139">
        <f t="shared" si="52"/>
        <v>1.0074074074074073</v>
      </c>
      <c r="R65" s="123">
        <f t="shared" si="53"/>
        <v>1.0071605038292635</v>
      </c>
      <c r="S65" s="124" t="str">
        <f t="shared" si="54"/>
        <v>NS</v>
      </c>
      <c r="T65" s="125" t="str">
        <f t="shared" si="55"/>
        <v>NS</v>
      </c>
      <c r="U65" s="153" t="str">
        <f t="shared" si="56"/>
        <v>H2</v>
      </c>
      <c r="V65" s="126">
        <f t="shared" si="57"/>
        <v>1.1319562518689047E-2</v>
      </c>
      <c r="W65" s="127">
        <f t="shared" si="58"/>
        <v>137.53946050254171</v>
      </c>
      <c r="X65" s="151" t="s">
        <v>236</v>
      </c>
      <c r="Y65" s="151" t="s">
        <v>236</v>
      </c>
      <c r="Z65" s="151" t="s">
        <v>236</v>
      </c>
      <c r="AA65" s="131">
        <f t="shared" si="59"/>
        <v>156.46378147112063</v>
      </c>
      <c r="AB65" s="143" t="str">
        <f t="shared" si="60"/>
        <v/>
      </c>
      <c r="AC65" s="133">
        <f t="shared" si="61"/>
        <v>7.2446885320634454E-3</v>
      </c>
      <c r="AD65" s="133">
        <f t="shared" si="62"/>
        <v>1.2478866644767628E-2</v>
      </c>
      <c r="AE65" s="133">
        <f t="shared" si="63"/>
        <v>1.2617072602334209E-2</v>
      </c>
      <c r="AF65" s="134">
        <f t="shared" si="64"/>
        <v>0.77851267169056271</v>
      </c>
      <c r="AG65" s="144">
        <f>Données!G45</f>
        <v>0</v>
      </c>
      <c r="AH65" s="145">
        <f>Données!H45</f>
        <v>0</v>
      </c>
      <c r="AI65" s="107"/>
      <c r="AJ65" s="159" t="str">
        <f t="shared" si="65"/>
        <v/>
      </c>
      <c r="AK65" s="160" t="str">
        <f t="shared" si="66"/>
        <v/>
      </c>
      <c r="AL65" s="161" t="str">
        <f t="shared" si="68"/>
        <v/>
      </c>
      <c r="AM65" s="162" t="str">
        <f t="shared" si="69"/>
        <v/>
      </c>
      <c r="AN65" s="107"/>
      <c r="AO65" s="163" t="str">
        <f t="shared" si="67"/>
        <v/>
      </c>
    </row>
    <row r="66" spans="1:41" ht="16.95" customHeight="1" x14ac:dyDescent="0.3">
      <c r="A66" s="106" t="s">
        <v>157</v>
      </c>
      <c r="B66" s="120">
        <f>Données!B46</f>
        <v>98</v>
      </c>
      <c r="C66" s="120">
        <f>Données!C46</f>
        <v>99</v>
      </c>
      <c r="D66" s="120">
        <f>Données!D46</f>
        <v>100</v>
      </c>
      <c r="E66" s="120">
        <f>Données!E46</f>
        <v>115</v>
      </c>
      <c r="F66" s="120">
        <f>Données!F46</f>
        <v>132</v>
      </c>
      <c r="G66" s="120">
        <f>IF(ABS(B66-TREND($B66:$F66,{1,2,3,4,5},1))/ABS(TREND($B66:$F66,{1,2,3,4,5},1))&gt;$B$5,TREND($B66:$F66,{1,2,3,4,5},1),B66)</f>
        <v>98</v>
      </c>
      <c r="H66" s="120">
        <f>IF(ABS(C66-TREND($B66:$F66,{1,2,3,4,5},2))/ABS(TREND($B66:$F66,{1,2,3,4,5},2))&gt;$B$5,TREND($B66:$F66,{1,2,3,4,5},2),C66)</f>
        <v>99</v>
      </c>
      <c r="I66" s="120">
        <f>IF(ABS(D66-TREND($B66:$F66,{1,2,3,4,5},3))/ABS(TREND($B66:$F66,{1,2,3,4,5},3))&gt;$B$5,TREND($B66:$F66,{1,2,3,4,5},3),D66)</f>
        <v>100</v>
      </c>
      <c r="J66" s="120">
        <f>IF(ABS(E66-TREND($B66:$F66,{1,2,3,4,5},4))/ABS(TREND($B66:$F66,{1,2,3,4,5},4))&gt;$B$5,TREND($B66:$F66,{1,2,3,4,5},4),E66)</f>
        <v>115</v>
      </c>
      <c r="K66" s="120">
        <f>IF(ABS(F66-TREND($B66:$F66,{1,2,3,4,5},5))/ABS(TREND($B66:$F66,{1,2,3,4,5},5))&gt;$B$5,TREND($B66:$F66,{1,2,3,4,5},5),F66)</f>
        <v>132</v>
      </c>
      <c r="L66" s="121" t="str">
        <f>IF(AND(ABS(B66-TREND($B66:$F66,{1,2,3,4,5},1))/ABS(TREND($B66:$F66,{1,2,3,4,5},1))&gt;$B$5&lt;=$B$5,ABS(C66-TREND($B66:$F66,{1,2,3,4,5},2))/ABS(TREND($B66:$F66,{1,2,3,4,5},2))&gt;$B$5&lt;=$B$5,ABS(D66-TREND($B66:$F66,{1,2,3,4,5},3))/ABS(TREND($B66:$F66,{1,2,3,4,5},3))&gt;$B$5&lt;=$B$5,ABS(E66-TREND($B66:$F66,{1,2,3,4,5},4))/ABS(TREND($B66:$F66,{1,2,3,4,5},4))&gt;$B$5&lt;=$B$5,ABS(F66-TREND($B66:$F66,{1,2,3,4,5},5))/ABS(TREND($B66:$F66,{1,2,3,4,5},5))&gt;$B$5&lt;=$B$5),"✓",TRIM(IF(ABS(B66-TREND($B66:$F66,{1,2,3,4,5},1))/ABS(TREND($B66:$F66,{1,2,3,4,5},1))&gt;$B$5,"⚠Y-5 ","")&amp;IF(ABS(C66-TREND($B66:$F66,{1,2,3,4,5},2))/ABS(TREND($B66:$F66,{1,2,3,4,5},2))&gt;$B$5,"⚠Y-4 ","")&amp;IF(ABS(D66-TREND($B66:$F66,{1,2,3,4,5},3))/ABS(TREND($B66:$F66,{1,2,3,4,5},3))&gt;$B$5,"⚠Y-3 ","")&amp;IF(ABS(E66-TREND($B66:$F66,{1,2,3,4,5},4))/ABS(TREND($B66:$F66,{1,2,3,4,5},4))&gt;$B$5,"⚠Y-2 ","")&amp;IF(ABS(F66-TREND($B66:$F66,{1,2,3,4,5},5))/ABS(TREND($B66:$F66,{1,2,3,4,5},5))&gt;$B$5,"⚠Y-1 ","")))</f>
        <v/>
      </c>
      <c r="M66" s="122">
        <f t="shared" si="48"/>
        <v>0.97836938435940091</v>
      </c>
      <c r="N66" s="122">
        <f t="shared" si="49"/>
        <v>0.97858319604612842</v>
      </c>
      <c r="O66" s="122">
        <f t="shared" si="50"/>
        <v>0.97879282218597063</v>
      </c>
      <c r="P66" s="122">
        <f t="shared" si="51"/>
        <v>0.97941802696948188</v>
      </c>
      <c r="Q66" s="122">
        <f t="shared" si="52"/>
        <v>0.97777777777777775</v>
      </c>
      <c r="R66" s="123">
        <f t="shared" si="53"/>
        <v>0.97836820643326372</v>
      </c>
      <c r="S66" s="124" t="str">
        <f t="shared" si="54"/>
        <v>NS</v>
      </c>
      <c r="T66" s="125" t="str">
        <f t="shared" si="55"/>
        <v>NS</v>
      </c>
      <c r="U66" s="153" t="str">
        <f t="shared" si="56"/>
        <v>H2</v>
      </c>
      <c r="V66" s="126">
        <f t="shared" si="57"/>
        <v>1.1319562518689047E-2</v>
      </c>
      <c r="W66" s="127">
        <f t="shared" si="58"/>
        <v>133.49418225246694</v>
      </c>
      <c r="X66" s="150" t="s">
        <v>236</v>
      </c>
      <c r="Y66" s="150" t="s">
        <v>236</v>
      </c>
      <c r="Z66" s="150" t="s">
        <v>236</v>
      </c>
      <c r="AA66" s="131">
        <f t="shared" si="59"/>
        <v>151.59913043478264</v>
      </c>
      <c r="AB66" s="132" t="str">
        <f t="shared" si="60"/>
        <v/>
      </c>
      <c r="AC66" s="133">
        <f t="shared" si="61"/>
        <v>7.2446885320634454E-3</v>
      </c>
      <c r="AD66" s="133">
        <f t="shared" si="62"/>
        <v>1.2478866644767628E-2</v>
      </c>
      <c r="AE66" s="133">
        <f t="shared" si="63"/>
        <v>1.2617072602334209E-2</v>
      </c>
      <c r="AF66" s="134">
        <f t="shared" si="64"/>
        <v>0.77851267169056271</v>
      </c>
      <c r="AG66" s="135">
        <f>Données!G46</f>
        <v>0</v>
      </c>
      <c r="AH66" s="136">
        <f>Données!H46</f>
        <v>0</v>
      </c>
      <c r="AI66" s="107"/>
      <c r="AJ66" s="154" t="str">
        <f t="shared" si="65"/>
        <v/>
      </c>
      <c r="AK66" s="155" t="str">
        <f t="shared" si="66"/>
        <v/>
      </c>
      <c r="AL66" s="156" t="str">
        <f t="shared" si="68"/>
        <v/>
      </c>
      <c r="AM66" s="157" t="str">
        <f t="shared" si="69"/>
        <v/>
      </c>
      <c r="AN66" s="107"/>
      <c r="AO66" s="158" t="str">
        <f t="shared" si="67"/>
        <v/>
      </c>
    </row>
    <row r="67" spans="1:41" ht="16.95" customHeight="1" x14ac:dyDescent="0.3">
      <c r="A67" s="110" t="s">
        <v>158</v>
      </c>
      <c r="B67" s="137">
        <f>Données!B47</f>
        <v>100</v>
      </c>
      <c r="C67" s="137">
        <f>Données!C47</f>
        <v>101</v>
      </c>
      <c r="D67" s="137">
        <f>Données!D47</f>
        <v>102</v>
      </c>
      <c r="E67" s="137">
        <f>Données!E47</f>
        <v>117</v>
      </c>
      <c r="F67" s="137">
        <f>Données!F47</f>
        <v>135</v>
      </c>
      <c r="G67" s="137">
        <f>IF(ABS(B67-TREND($B67:$F67,{1,2,3,4,5},1))/ABS(TREND($B67:$F67,{1,2,3,4,5},1))&gt;$B$5,TREND($B67:$F67,{1,2,3,4,5},1),B67)</f>
        <v>100</v>
      </c>
      <c r="H67" s="137">
        <f>IF(ABS(C67-TREND($B67:$F67,{1,2,3,4,5},2))/ABS(TREND($B67:$F67,{1,2,3,4,5},2))&gt;$B$5,TREND($B67:$F67,{1,2,3,4,5},2),C67)</f>
        <v>101</v>
      </c>
      <c r="I67" s="137">
        <f>IF(ABS(D67-TREND($B67:$F67,{1,2,3,4,5},3))/ABS(TREND($B67:$F67,{1,2,3,4,5},3))&gt;$B$5,TREND($B67:$F67,{1,2,3,4,5},3),D67)</f>
        <v>102</v>
      </c>
      <c r="J67" s="137">
        <f>IF(ABS(E67-TREND($B67:$F67,{1,2,3,4,5},4))/ABS(TREND($B67:$F67,{1,2,3,4,5},4))&gt;$B$5,TREND($B67:$F67,{1,2,3,4,5},4),E67)</f>
        <v>117</v>
      </c>
      <c r="K67" s="137">
        <f>IF(ABS(F67-TREND($B67:$F67,{1,2,3,4,5},5))/ABS(TREND($B67:$F67,{1,2,3,4,5},5))&gt;$B$5,TREND($B67:$F67,{1,2,3,4,5},5),F67)</f>
        <v>135</v>
      </c>
      <c r="L67" s="138" t="str">
        <f>IF(AND(ABS(B67-TREND($B67:$F67,{1,2,3,4,5},1))/ABS(TREND($B67:$F67,{1,2,3,4,5},1))&gt;$B$5&lt;=$B$5,ABS(C67-TREND($B67:$F67,{1,2,3,4,5},2))/ABS(TREND($B67:$F67,{1,2,3,4,5},2))&gt;$B$5&lt;=$B$5,ABS(D67-TREND($B67:$F67,{1,2,3,4,5},3))/ABS(TREND($B67:$F67,{1,2,3,4,5},3))&gt;$B$5&lt;=$B$5,ABS(E67-TREND($B67:$F67,{1,2,3,4,5},4))/ABS(TREND($B67:$F67,{1,2,3,4,5},4))&gt;$B$5&lt;=$B$5,ABS(F67-TREND($B67:$F67,{1,2,3,4,5},5))/ABS(TREND($B67:$F67,{1,2,3,4,5},5))&gt;$B$5&lt;=$B$5),"✓",TRIM(IF(ABS(B67-TREND($B67:$F67,{1,2,3,4,5},1))/ABS(TREND($B67:$F67,{1,2,3,4,5},1))&gt;$B$5,"⚠Y-5 ","")&amp;IF(ABS(C67-TREND($B67:$F67,{1,2,3,4,5},2))/ABS(TREND($B67:$F67,{1,2,3,4,5},2))&gt;$B$5,"⚠Y-4 ","")&amp;IF(ABS(D67-TREND($B67:$F67,{1,2,3,4,5},3))/ABS(TREND($B67:$F67,{1,2,3,4,5},3))&gt;$B$5,"⚠Y-3 ","")&amp;IF(ABS(E67-TREND($B67:$F67,{1,2,3,4,5},4))/ABS(TREND($B67:$F67,{1,2,3,4,5},4))&gt;$B$5,"⚠Y-2 ","")&amp;IF(ABS(F67-TREND($B67:$F67,{1,2,3,4,5},5))/ABS(TREND($B67:$F67,{1,2,3,4,5},5))&gt;$B$5,"⚠Y-1 ","")))</f>
        <v/>
      </c>
      <c r="M67" s="139">
        <f t="shared" si="48"/>
        <v>0.99833610648918469</v>
      </c>
      <c r="N67" s="139">
        <f t="shared" si="49"/>
        <v>0.9983525535420098</v>
      </c>
      <c r="O67" s="139">
        <f t="shared" si="50"/>
        <v>0.99836867862969003</v>
      </c>
      <c r="P67" s="139">
        <f t="shared" si="51"/>
        <v>0.99645138396025545</v>
      </c>
      <c r="Q67" s="139">
        <f t="shared" si="52"/>
        <v>1</v>
      </c>
      <c r="R67" s="123">
        <f t="shared" si="53"/>
        <v>0.99879763926516485</v>
      </c>
      <c r="S67" s="124" t="str">
        <f t="shared" si="54"/>
        <v>NS</v>
      </c>
      <c r="T67" s="125" t="str">
        <f t="shared" si="55"/>
        <v>NS</v>
      </c>
      <c r="U67" s="153" t="str">
        <f t="shared" si="56"/>
        <v>H2</v>
      </c>
      <c r="V67" s="126">
        <f t="shared" si="57"/>
        <v>1.1319562518689047E-2</v>
      </c>
      <c r="W67" s="127">
        <f t="shared" si="58"/>
        <v>136.52814094002301</v>
      </c>
      <c r="X67" s="151" t="s">
        <v>236</v>
      </c>
      <c r="Y67" s="151" t="s">
        <v>236</v>
      </c>
      <c r="Z67" s="151" t="s">
        <v>236</v>
      </c>
      <c r="AA67" s="131">
        <f t="shared" si="59"/>
        <v>155.49434389140274</v>
      </c>
      <c r="AB67" s="143" t="str">
        <f t="shared" si="60"/>
        <v/>
      </c>
      <c r="AC67" s="133">
        <f t="shared" si="61"/>
        <v>7.2446885320634454E-3</v>
      </c>
      <c r="AD67" s="133">
        <f t="shared" si="62"/>
        <v>1.2478866644767628E-2</v>
      </c>
      <c r="AE67" s="133">
        <f t="shared" si="63"/>
        <v>1.2617072602334209E-2</v>
      </c>
      <c r="AF67" s="134">
        <f t="shared" si="64"/>
        <v>0.77851267169056271</v>
      </c>
      <c r="AG67" s="144">
        <f>Données!G47</f>
        <v>0</v>
      </c>
      <c r="AH67" s="145">
        <f>Données!H47</f>
        <v>0</v>
      </c>
      <c r="AI67" s="107"/>
      <c r="AJ67" s="159" t="str">
        <f t="shared" si="65"/>
        <v/>
      </c>
      <c r="AK67" s="160" t="str">
        <f t="shared" si="66"/>
        <v/>
      </c>
      <c r="AL67" s="161" t="str">
        <f t="shared" si="68"/>
        <v/>
      </c>
      <c r="AM67" s="162" t="str">
        <f t="shared" si="69"/>
        <v/>
      </c>
      <c r="AN67" s="107"/>
      <c r="AO67" s="163" t="str">
        <f t="shared" si="67"/>
        <v/>
      </c>
    </row>
    <row r="68" spans="1:41" ht="18" customHeight="1" x14ac:dyDescent="0.3">
      <c r="A68" s="146" t="s">
        <v>29</v>
      </c>
      <c r="B68" s="147">
        <f t="shared" ref="B68:K68" si="70">SUM(B56:B67)</f>
        <v>1202</v>
      </c>
      <c r="C68" s="147">
        <f t="shared" si="70"/>
        <v>1214</v>
      </c>
      <c r="D68" s="147">
        <f t="shared" si="70"/>
        <v>1226</v>
      </c>
      <c r="E68" s="147">
        <f t="shared" si="70"/>
        <v>1409</v>
      </c>
      <c r="F68" s="147">
        <f t="shared" si="70"/>
        <v>1620</v>
      </c>
      <c r="G68" s="147">
        <f t="shared" si="70"/>
        <v>1202</v>
      </c>
      <c r="H68" s="147">
        <f t="shared" si="70"/>
        <v>1214</v>
      </c>
      <c r="I68" s="147">
        <f t="shared" si="70"/>
        <v>1226</v>
      </c>
      <c r="J68" s="147">
        <f t="shared" si="70"/>
        <v>1409</v>
      </c>
      <c r="K68" s="147">
        <f t="shared" si="70"/>
        <v>1620</v>
      </c>
      <c r="L68" s="148"/>
      <c r="M68" s="148"/>
      <c r="N68" s="148"/>
      <c r="O68" s="148"/>
      <c r="P68" s="148"/>
      <c r="Q68" s="148"/>
      <c r="R68" s="148"/>
      <c r="S68" s="148"/>
      <c r="T68" s="148"/>
      <c r="U68" s="148"/>
      <c r="V68" s="148"/>
      <c r="W68" s="147">
        <f>SUM(W56:W67)</f>
        <v>1638.337691280276</v>
      </c>
      <c r="X68" s="147">
        <f>SUM(X56:X67)</f>
        <v>0</v>
      </c>
      <c r="Y68" s="147">
        <f>SUM(Y56:Y67)</f>
        <v>0</v>
      </c>
      <c r="Z68" s="149">
        <f>SUM(Z56:Z67)</f>
        <v>0</v>
      </c>
      <c r="AA68" s="147">
        <f>SUM(AA56:AA67)</f>
        <v>1862.3695703194217</v>
      </c>
      <c r="AB68" s="148"/>
      <c r="AC68" s="148"/>
      <c r="AD68" s="148"/>
      <c r="AE68" s="148"/>
      <c r="AF68" s="148"/>
      <c r="AG68" s="148"/>
      <c r="AH68" s="148"/>
    </row>
    <row r="69" spans="1:41" ht="4.95" customHeight="1" x14ac:dyDescent="0.3">
      <c r="A69" s="48"/>
      <c r="B69" s="48"/>
      <c r="C69" s="48"/>
      <c r="D69" s="48"/>
      <c r="E69" s="48"/>
      <c r="F69" s="48"/>
      <c r="G69" s="48"/>
      <c r="H69" s="48"/>
      <c r="I69" s="48"/>
      <c r="J69" s="48"/>
      <c r="K69" s="48"/>
      <c r="L69" s="48"/>
      <c r="M69" s="48"/>
      <c r="N69" s="48"/>
      <c r="O69" s="48"/>
      <c r="P69" s="48"/>
      <c r="Q69" s="48"/>
      <c r="R69" s="48"/>
      <c r="S69" s="48"/>
      <c r="T69" s="48"/>
      <c r="U69" s="48"/>
    </row>
    <row r="70" spans="1:41" ht="16.05" customHeight="1" x14ac:dyDescent="0.3">
      <c r="A70" s="49" t="s">
        <v>237</v>
      </c>
      <c r="B70" s="50">
        <f>SUMPRODUCT(ABS(J56:J67*(J56:J67/I56:I67)-K56:K67)/K56:K67)/12</f>
        <v>3.5427689240948167E-3</v>
      </c>
      <c r="C70" s="381" t="s">
        <v>233</v>
      </c>
      <c r="D70" s="373"/>
      <c r="E70" s="373"/>
      <c r="F70" s="373"/>
      <c r="G70" s="373"/>
      <c r="H70" s="373"/>
      <c r="I70" s="373"/>
      <c r="J70" s="373"/>
      <c r="K70" s="373"/>
      <c r="L70" s="373"/>
      <c r="M70" s="373"/>
      <c r="N70" s="373"/>
      <c r="O70" s="373"/>
      <c r="P70" s="373"/>
      <c r="Q70" s="373"/>
      <c r="R70" s="373"/>
      <c r="S70" s="373"/>
      <c r="T70" s="374"/>
    </row>
    <row r="71" spans="1:41" ht="4.95" customHeight="1" x14ac:dyDescent="0.3">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row>
    <row r="72" spans="1:41" ht="18" customHeight="1" x14ac:dyDescent="0.3">
      <c r="A72" s="402" t="s">
        <v>238</v>
      </c>
      <c r="B72" s="373"/>
      <c r="C72" s="373"/>
      <c r="D72" s="373"/>
      <c r="E72" s="373"/>
      <c r="F72" s="373"/>
      <c r="G72" s="373"/>
      <c r="H72" s="373"/>
      <c r="I72" s="373"/>
      <c r="J72" s="373"/>
      <c r="K72" s="373"/>
      <c r="L72" s="373"/>
      <c r="M72" s="373"/>
      <c r="N72" s="373"/>
      <c r="O72" s="373"/>
      <c r="P72" s="373"/>
      <c r="Q72" s="373"/>
      <c r="R72" s="373"/>
      <c r="S72" s="373"/>
      <c r="T72" s="374"/>
    </row>
    <row r="73" spans="1:41" ht="16.95" customHeight="1" x14ac:dyDescent="0.3">
      <c r="A73" s="106" t="s">
        <v>147</v>
      </c>
      <c r="B73" s="120">
        <f>Données!B51</f>
        <v>97</v>
      </c>
      <c r="C73" s="120">
        <f>Données!C51</f>
        <v>102</v>
      </c>
      <c r="D73" s="120">
        <f>Données!D51</f>
        <v>107</v>
      </c>
      <c r="E73" s="120">
        <f>Données!E51</f>
        <v>112</v>
      </c>
      <c r="F73" s="120">
        <f>Données!F51</f>
        <v>118</v>
      </c>
      <c r="G73" s="120">
        <f>IF(ABS(B73-TREND($B73:$F73,{1,2,3,4,5},1))/ABS(TREND($B73:$F73,{1,2,3,4,5},1))&gt;$B$5,TREND($B73:$F73,{1,2,3,4,5},1),B73)</f>
        <v>97</v>
      </c>
      <c r="H73" s="120">
        <f>IF(ABS(C73-TREND($B73:$F73,{1,2,3,4,5},2))/ABS(TREND($B73:$F73,{1,2,3,4,5},2))&gt;$B$5,TREND($B73:$F73,{1,2,3,4,5},2),C73)</f>
        <v>102</v>
      </c>
      <c r="I73" s="120">
        <f>IF(ABS(D73-TREND($B73:$F73,{1,2,3,4,5},3))/ABS(TREND($B73:$F73,{1,2,3,4,5},3))&gt;$B$5,TREND($B73:$F73,{1,2,3,4,5},3),D73)</f>
        <v>107</v>
      </c>
      <c r="J73" s="120">
        <f>IF(ABS(E73-TREND($B73:$F73,{1,2,3,4,5},4))/ABS(TREND($B73:$F73,{1,2,3,4,5},4))&gt;$B$5,TREND($B73:$F73,{1,2,3,4,5},4),E73)</f>
        <v>112</v>
      </c>
      <c r="K73" s="120">
        <f>IF(ABS(F73-TREND($B73:$F73,{1,2,3,4,5},5))/ABS(TREND($B73:$F73,{1,2,3,4,5},5))&gt;$B$5,TREND($B73:$F73,{1,2,3,4,5},5),F73)</f>
        <v>118</v>
      </c>
      <c r="L73" s="121" t="str">
        <f>IF(AND(ABS(B73-TREND($B73:$F73,{1,2,3,4,5},1))/ABS(TREND($B73:$F73,{1,2,3,4,5},1))&gt;$B$5&lt;=$B$5,ABS(C73-TREND($B73:$F73,{1,2,3,4,5},2))/ABS(TREND($B73:$F73,{1,2,3,4,5},2))&gt;$B$5&lt;=$B$5,ABS(D73-TREND($B73:$F73,{1,2,3,4,5},3))/ABS(TREND($B73:$F73,{1,2,3,4,5},3))&gt;$B$5&lt;=$B$5,ABS(E73-TREND($B73:$F73,{1,2,3,4,5},4))/ABS(TREND($B73:$F73,{1,2,3,4,5},4))&gt;$B$5&lt;=$B$5,ABS(F73-TREND($B73:$F73,{1,2,3,4,5},5))/ABS(TREND($B73:$F73,{1,2,3,4,5},5))&gt;$B$5&lt;=$B$5),"✓",TRIM(IF(ABS(B73-TREND($B73:$F73,{1,2,3,4,5},1))/ABS(TREND($B73:$F73,{1,2,3,4,5},1))&gt;$B$5,"⚠Y-5 ","")&amp;IF(ABS(C73-TREND($B73:$F73,{1,2,3,4,5},2))/ABS(TREND($B73:$F73,{1,2,3,4,5},2))&gt;$B$5,"⚠Y-4 ","")&amp;IF(ABS(D73-TREND($B73:$F73,{1,2,3,4,5},3))/ABS(TREND($B73:$F73,{1,2,3,4,5},3))&gt;$B$5,"⚠Y-3 ","")&amp;IF(ABS(E73-TREND($B73:$F73,{1,2,3,4,5},4))/ABS(TREND($B73:$F73,{1,2,3,4,5},4))&gt;$B$5,"⚠Y-2 ","")&amp;IF(ABS(F73-TREND($B73:$F73,{1,2,3,4,5},5))/ABS(TREND($B73:$F73,{1,2,3,4,5},5))&gt;$B$5,"⚠Y-1 ","")))</f>
        <v/>
      </c>
      <c r="M73" s="122">
        <f t="shared" ref="M73:M84" si="71">G73/AVERAGE($G$73:$G$84)</f>
        <v>0.96838602329450907</v>
      </c>
      <c r="N73" s="122">
        <f t="shared" ref="N73:N84" si="72">H73/AVERAGE($H$73:$H$84)</f>
        <v>0.96988906497622818</v>
      </c>
      <c r="O73" s="122">
        <f t="shared" ref="O73:O84" si="73">I73/AVERAGE($I$73:$I$84)</f>
        <v>0.97125567322239026</v>
      </c>
      <c r="P73" s="122">
        <f t="shared" ref="P73:P84" si="74">J73/AVERAGE($J$73:$J$84)</f>
        <v>0.96760259179265662</v>
      </c>
      <c r="Q73" s="122">
        <f t="shared" ref="Q73:Q84" si="75">K73/AVERAGE($K$73:$K$84)</f>
        <v>0.93650793650793651</v>
      </c>
      <c r="R73" s="123">
        <f t="shared" ref="R73:R84" si="76">$B$8*M73+$B$9*N73+$B$10*O73+$B$11*P73+$B$12*Q73</f>
        <v>0.95287104525820643</v>
      </c>
      <c r="S73" s="124" t="str">
        <f t="shared" ref="S73:S84" si="77">IF(R73&lt;$B$6,"SB",IF(R73&gt;$B$7,"SH","NS"))</f>
        <v>NS</v>
      </c>
      <c r="T73" s="125" t="str">
        <f t="shared" ref="T73:T84" si="78">IF(SUMPRODUCT(--(M73:Q73&gt;$B$7))&gt;2.5,"SH",IF(SUMPRODUCT(--(M73:Q73&lt;$B$6))&gt;2.5,"SB","NS"))</f>
        <v>NS</v>
      </c>
      <c r="U73" s="153" t="str">
        <f t="shared" ref="U73:U84" si="79">IFERROR(IF(AND(ABS(AC73-AD73)&lt;$J$7,ABS(AD73-AE73)&lt;$J$7),"H1",IF(ABS(AC73-AD73)&gt;=$J$7,IF(ABS(AE73-AD73)&lt;=ABS(AE73-AC73),"H2","H2b"),"H3")),"—")</f>
        <v>H3</v>
      </c>
      <c r="V73" s="126">
        <f t="shared" ref="V73:V84" si="80">IFERROR(IF(U73="H1",AC73,IF(OR(U73="H2",U73="H2b"),IF(U73="H2",AF73*AD73+(1-AF73)*AC73,(1-AF73)*AD73+AF73*AC73),IF(ABS(AE73-AD73)&lt;=ABS(AE73-AC73),AD73,AC73))),AC73)</f>
        <v>7.3930738067038322E-3</v>
      </c>
      <c r="W73" s="127">
        <f t="shared" ref="W73:W84" si="81">K73*(1+V73)*(1+AG73*AH73)</f>
        <v>118.87238270919106</v>
      </c>
      <c r="X73" s="150" t="s">
        <v>236</v>
      </c>
      <c r="Y73" s="150" t="s">
        <v>236</v>
      </c>
      <c r="Z73" s="150" t="s">
        <v>236</v>
      </c>
      <c r="AA73" s="131">
        <f t="shared" ref="AA73:AA84" si="82">K73*($B$14*K73/J73+$B$15*J73/I73)*(1+AG73*AH73)</f>
        <v>124.07920560747664</v>
      </c>
      <c r="AB73" s="132" t="str">
        <f t="shared" ref="AB73:AB84" si="83">IF(SIGN(K73/J73-1)&lt;&gt;SIGN(J73/I73-1),"⚠ retournement",IF(ABS(K73/J73-J73/I73)&gt;$B$16,"⚡ accél.",""))</f>
        <v/>
      </c>
      <c r="AC73" s="133">
        <f t="shared" ref="AC73:AC84" si="84">IFERROR(SUMPRODUCT(($T$73:$T$84=T73)*(($K$73:$K$84/$G$73:$G$84-1)/48))/COUNTIF($T$73:$T$84,T73),0)</f>
        <v>5.3777004358113835E-3</v>
      </c>
      <c r="AD73" s="133">
        <f t="shared" ref="AD73:AD84" si="85">IFERROR(SUMPRODUCT(($T$73:$T$84=T73)*(($K$73:$K$84/$J$73:$J$84-1)/12))/COUNTIF($T$73:$T$84,T73),0)</f>
        <v>7.3930738067038322E-3</v>
      </c>
      <c r="AE73" s="133">
        <f t="shared" ref="AE73:AE84" si="86">IFERROR(IF(SUMPRODUCT(($T$73:$T$84=T73)*(ROW($T$73:$T$84)-ROW($T$73)+1&gt;9))&gt;0,SUMPRODUCT(($T$73:$T$84=T73)*(ROW($T$73:$T$84)-ROW($T$73)+1&gt;9)*(($K$73:$K$84/$J$73:$J$84-1)/12))/SUMPRODUCT(($T$73:$T$84=T73)*(ROW($T$73:$T$84)-ROW($T$73)+1&gt;9)),AD73),AD73)</f>
        <v>1.6622135601639214E-2</v>
      </c>
      <c r="AF73" s="134">
        <f t="shared" ref="AF73:AF84" si="87">MIN($J$9,$B$14+($J$9-$B$14)*MIN(1,IFERROR(ABS(AC73-AD73)/$J$8,1)))</f>
        <v>0.73023060056338673</v>
      </c>
      <c r="AG73" s="135">
        <f>Données!G51</f>
        <v>0</v>
      </c>
      <c r="AH73" s="136">
        <f>Données!H51</f>
        <v>0</v>
      </c>
      <c r="AI73" s="107"/>
      <c r="AJ73" s="154" t="str">
        <f t="shared" ref="AJ73:AJ84" si="88">IF(AI73="","",(AI73-W73)/W73)</f>
        <v/>
      </c>
      <c r="AK73" s="155" t="str">
        <f t="shared" ref="AK73:AK84" si="89">IF(AI73="","",(AI73-AA73)/AA73)</f>
        <v/>
      </c>
      <c r="AL73" s="156"/>
      <c r="AM73" s="157"/>
      <c r="AN73" s="107"/>
      <c r="AO73" s="158" t="str">
        <f t="shared" ref="AO73:AO84" si="90">IF(AN73="","",(AN73-W73)/W73)</f>
        <v/>
      </c>
    </row>
    <row r="74" spans="1:41" ht="16.95" customHeight="1" x14ac:dyDescent="0.3">
      <c r="A74" s="110" t="s">
        <v>148</v>
      </c>
      <c r="B74" s="137">
        <f>Données!B52</f>
        <v>99</v>
      </c>
      <c r="C74" s="137">
        <f>Données!C52</f>
        <v>104</v>
      </c>
      <c r="D74" s="137">
        <f>Données!D52</f>
        <v>109</v>
      </c>
      <c r="E74" s="137">
        <f>Données!E52</f>
        <v>114</v>
      </c>
      <c r="F74" s="137">
        <f>Données!F52</f>
        <v>120</v>
      </c>
      <c r="G74" s="137">
        <f>IF(ABS(B74-TREND($B74:$F74,{1,2,3,4,5},1))/ABS(TREND($B74:$F74,{1,2,3,4,5},1))&gt;$B$5,TREND($B74:$F74,{1,2,3,4,5},1),B74)</f>
        <v>99</v>
      </c>
      <c r="H74" s="137">
        <f>IF(ABS(C74-TREND($B74:$F74,{1,2,3,4,5},2))/ABS(TREND($B74:$F74,{1,2,3,4,5},2))&gt;$B$5,TREND($B74:$F74,{1,2,3,4,5},2),C74)</f>
        <v>104</v>
      </c>
      <c r="I74" s="137">
        <f>IF(ABS(D74-TREND($B74:$F74,{1,2,3,4,5},3))/ABS(TREND($B74:$F74,{1,2,3,4,5},3))&gt;$B$5,TREND($B74:$F74,{1,2,3,4,5},3),D74)</f>
        <v>109</v>
      </c>
      <c r="J74" s="137">
        <f>IF(ABS(E74-TREND($B74:$F74,{1,2,3,4,5},4))/ABS(TREND($B74:$F74,{1,2,3,4,5},4))&gt;$B$5,TREND($B74:$F74,{1,2,3,4,5},4),E74)</f>
        <v>114</v>
      </c>
      <c r="K74" s="137">
        <f>IF(ABS(F74-TREND($B74:$F74,{1,2,3,4,5},5))/ABS(TREND($B74:$F74,{1,2,3,4,5},5))&gt;$B$5,TREND($B74:$F74,{1,2,3,4,5},5),F74)</f>
        <v>120</v>
      </c>
      <c r="L74" s="138" t="str">
        <f>IF(AND(ABS(B74-TREND($B74:$F74,{1,2,3,4,5},1))/ABS(TREND($B74:$F74,{1,2,3,4,5},1))&gt;$B$5&lt;=$B$5,ABS(C74-TREND($B74:$F74,{1,2,3,4,5},2))/ABS(TREND($B74:$F74,{1,2,3,4,5},2))&gt;$B$5&lt;=$B$5,ABS(D74-TREND($B74:$F74,{1,2,3,4,5},3))/ABS(TREND($B74:$F74,{1,2,3,4,5},3))&gt;$B$5&lt;=$B$5,ABS(E74-TREND($B74:$F74,{1,2,3,4,5},4))/ABS(TREND($B74:$F74,{1,2,3,4,5},4))&gt;$B$5&lt;=$B$5,ABS(F74-TREND($B74:$F74,{1,2,3,4,5},5))/ABS(TREND($B74:$F74,{1,2,3,4,5},5))&gt;$B$5&lt;=$B$5),"✓",TRIM(IF(ABS(B74-TREND($B74:$F74,{1,2,3,4,5},1))/ABS(TREND($B74:$F74,{1,2,3,4,5},1))&gt;$B$5,"⚠Y-5 ","")&amp;IF(ABS(C74-TREND($B74:$F74,{1,2,3,4,5},2))/ABS(TREND($B74:$F74,{1,2,3,4,5},2))&gt;$B$5,"⚠Y-4 ","")&amp;IF(ABS(D74-TREND($B74:$F74,{1,2,3,4,5},3))/ABS(TREND($B74:$F74,{1,2,3,4,5},3))&gt;$B$5,"⚠Y-3 ","")&amp;IF(ABS(E74-TREND($B74:$F74,{1,2,3,4,5},4))/ABS(TREND($B74:$F74,{1,2,3,4,5},4))&gt;$B$5,"⚠Y-2 ","")&amp;IF(ABS(F74-TREND($B74:$F74,{1,2,3,4,5},5))/ABS(TREND($B74:$F74,{1,2,3,4,5},5))&gt;$B$5,"⚠Y-1 ","")))</f>
        <v/>
      </c>
      <c r="M74" s="139">
        <f t="shared" si="71"/>
        <v>0.98835274542429274</v>
      </c>
      <c r="N74" s="139">
        <f t="shared" si="72"/>
        <v>0.9889064976228209</v>
      </c>
      <c r="O74" s="139">
        <f t="shared" si="73"/>
        <v>0.98940998487140697</v>
      </c>
      <c r="P74" s="139">
        <f t="shared" si="74"/>
        <v>0.98488120950323976</v>
      </c>
      <c r="Q74" s="139">
        <f t="shared" si="75"/>
        <v>0.95238095238095233</v>
      </c>
      <c r="R74" s="123">
        <f t="shared" si="76"/>
        <v>0.96988650285533196</v>
      </c>
      <c r="S74" s="124" t="str">
        <f t="shared" si="77"/>
        <v>NS</v>
      </c>
      <c r="T74" s="125" t="str">
        <f t="shared" si="78"/>
        <v>NS</v>
      </c>
      <c r="U74" s="153" t="str">
        <f t="shared" si="79"/>
        <v>H3</v>
      </c>
      <c r="V74" s="126">
        <f t="shared" si="80"/>
        <v>7.3930738067038322E-3</v>
      </c>
      <c r="W74" s="127">
        <f t="shared" si="81"/>
        <v>120.88716885680446</v>
      </c>
      <c r="X74" s="151" t="s">
        <v>236</v>
      </c>
      <c r="Y74" s="151" t="s">
        <v>236</v>
      </c>
      <c r="Z74" s="151" t="s">
        <v>236</v>
      </c>
      <c r="AA74" s="131">
        <f t="shared" si="82"/>
        <v>126.07242877836794</v>
      </c>
      <c r="AB74" s="143" t="str">
        <f t="shared" si="83"/>
        <v/>
      </c>
      <c r="AC74" s="133">
        <f t="shared" si="84"/>
        <v>5.3777004358113835E-3</v>
      </c>
      <c r="AD74" s="133">
        <f t="shared" si="85"/>
        <v>7.3930738067038322E-3</v>
      </c>
      <c r="AE74" s="133">
        <f t="shared" si="86"/>
        <v>1.6622135601639214E-2</v>
      </c>
      <c r="AF74" s="134">
        <f t="shared" si="87"/>
        <v>0.73023060056338673</v>
      </c>
      <c r="AG74" s="144">
        <f>Données!G52</f>
        <v>0</v>
      </c>
      <c r="AH74" s="145">
        <f>Données!H52</f>
        <v>0</v>
      </c>
      <c r="AI74" s="107"/>
      <c r="AJ74" s="159" t="str">
        <f t="shared" si="88"/>
        <v/>
      </c>
      <c r="AK74" s="160" t="str">
        <f t="shared" si="89"/>
        <v/>
      </c>
      <c r="AL74" s="161"/>
      <c r="AM74" s="162"/>
      <c r="AN74" s="107"/>
      <c r="AO74" s="163" t="str">
        <f t="shared" si="90"/>
        <v/>
      </c>
    </row>
    <row r="75" spans="1:41" ht="16.95" customHeight="1" x14ac:dyDescent="0.3">
      <c r="A75" s="106" t="s">
        <v>149</v>
      </c>
      <c r="B75" s="120">
        <f>Données!B53</f>
        <v>101</v>
      </c>
      <c r="C75" s="120">
        <f>Données!C53</f>
        <v>106</v>
      </c>
      <c r="D75" s="120">
        <f>Données!D53</f>
        <v>111</v>
      </c>
      <c r="E75" s="120">
        <f>Données!E53</f>
        <v>117</v>
      </c>
      <c r="F75" s="120">
        <f>Données!F53</f>
        <v>123</v>
      </c>
      <c r="G75" s="120">
        <f>IF(ABS(B75-TREND($B75:$F75,{1,2,3,4,5},1))/ABS(TREND($B75:$F75,{1,2,3,4,5},1))&gt;$B$5,TREND($B75:$F75,{1,2,3,4,5},1),B75)</f>
        <v>101</v>
      </c>
      <c r="H75" s="120">
        <f>IF(ABS(C75-TREND($B75:$F75,{1,2,3,4,5},2))/ABS(TREND($B75:$F75,{1,2,3,4,5},2))&gt;$B$5,TREND($B75:$F75,{1,2,3,4,5},2),C75)</f>
        <v>106</v>
      </c>
      <c r="I75" s="120">
        <f>IF(ABS(D75-TREND($B75:$F75,{1,2,3,4,5},3))/ABS(TREND($B75:$F75,{1,2,3,4,5},3))&gt;$B$5,TREND($B75:$F75,{1,2,3,4,5},3),D75)</f>
        <v>111</v>
      </c>
      <c r="J75" s="120">
        <f>IF(ABS(E75-TREND($B75:$F75,{1,2,3,4,5},4))/ABS(TREND($B75:$F75,{1,2,3,4,5},4))&gt;$B$5,TREND($B75:$F75,{1,2,3,4,5},4),E75)</f>
        <v>117</v>
      </c>
      <c r="K75" s="120">
        <f>IF(ABS(F75-TREND($B75:$F75,{1,2,3,4,5},5))/ABS(TREND($B75:$F75,{1,2,3,4,5},5))&gt;$B$5,TREND($B75:$F75,{1,2,3,4,5},5),F75)</f>
        <v>123</v>
      </c>
      <c r="L75" s="121" t="str">
        <f>IF(AND(ABS(B75-TREND($B75:$F75,{1,2,3,4,5},1))/ABS(TREND($B75:$F75,{1,2,3,4,5},1))&gt;$B$5&lt;=$B$5,ABS(C75-TREND($B75:$F75,{1,2,3,4,5},2))/ABS(TREND($B75:$F75,{1,2,3,4,5},2))&gt;$B$5&lt;=$B$5,ABS(D75-TREND($B75:$F75,{1,2,3,4,5},3))/ABS(TREND($B75:$F75,{1,2,3,4,5},3))&gt;$B$5&lt;=$B$5,ABS(E75-TREND($B75:$F75,{1,2,3,4,5},4))/ABS(TREND($B75:$F75,{1,2,3,4,5},4))&gt;$B$5&lt;=$B$5,ABS(F75-TREND($B75:$F75,{1,2,3,4,5},5))/ABS(TREND($B75:$F75,{1,2,3,4,5},5))&gt;$B$5&lt;=$B$5),"✓",TRIM(IF(ABS(B75-TREND($B75:$F75,{1,2,3,4,5},1))/ABS(TREND($B75:$F75,{1,2,3,4,5},1))&gt;$B$5,"⚠Y-5 ","")&amp;IF(ABS(C75-TREND($B75:$F75,{1,2,3,4,5},2))/ABS(TREND($B75:$F75,{1,2,3,4,5},2))&gt;$B$5,"⚠Y-4 ","")&amp;IF(ABS(D75-TREND($B75:$F75,{1,2,3,4,5},3))/ABS(TREND($B75:$F75,{1,2,3,4,5},3))&gt;$B$5,"⚠Y-3 ","")&amp;IF(ABS(E75-TREND($B75:$F75,{1,2,3,4,5},4))/ABS(TREND($B75:$F75,{1,2,3,4,5},4))&gt;$B$5,"⚠Y-2 ","")&amp;IF(ABS(F75-TREND($B75:$F75,{1,2,3,4,5},5))/ABS(TREND($B75:$F75,{1,2,3,4,5},5))&gt;$B$5,"⚠Y-1 ","")))</f>
        <v/>
      </c>
      <c r="M75" s="122">
        <f t="shared" si="71"/>
        <v>1.0083194675540765</v>
      </c>
      <c r="N75" s="122">
        <f t="shared" si="72"/>
        <v>1.0079239302694136</v>
      </c>
      <c r="O75" s="122">
        <f t="shared" si="73"/>
        <v>1.0075642965204235</v>
      </c>
      <c r="P75" s="122">
        <f t="shared" si="74"/>
        <v>1.0107991360691144</v>
      </c>
      <c r="Q75" s="122">
        <f t="shared" si="75"/>
        <v>0.97619047619047616</v>
      </c>
      <c r="R75" s="123">
        <f t="shared" si="76"/>
        <v>0.99259807619176965</v>
      </c>
      <c r="S75" s="124" t="str">
        <f t="shared" si="77"/>
        <v>NS</v>
      </c>
      <c r="T75" s="125" t="str">
        <f t="shared" si="78"/>
        <v>NS</v>
      </c>
      <c r="U75" s="153" t="str">
        <f t="shared" si="79"/>
        <v>H3</v>
      </c>
      <c r="V75" s="126">
        <f t="shared" si="80"/>
        <v>7.3930738067038322E-3</v>
      </c>
      <c r="W75" s="127">
        <f t="shared" si="81"/>
        <v>123.90934807822457</v>
      </c>
      <c r="X75" s="150" t="s">
        <v>236</v>
      </c>
      <c r="Y75" s="150" t="s">
        <v>236</v>
      </c>
      <c r="Z75" s="150" t="s">
        <v>236</v>
      </c>
      <c r="AA75" s="131">
        <f t="shared" si="82"/>
        <v>129.40997920997924</v>
      </c>
      <c r="AB75" s="132" t="str">
        <f t="shared" si="83"/>
        <v/>
      </c>
      <c r="AC75" s="133">
        <f t="shared" si="84"/>
        <v>5.3777004358113835E-3</v>
      </c>
      <c r="AD75" s="133">
        <f t="shared" si="85"/>
        <v>7.3930738067038322E-3</v>
      </c>
      <c r="AE75" s="133">
        <f t="shared" si="86"/>
        <v>1.6622135601639214E-2</v>
      </c>
      <c r="AF75" s="134">
        <f t="shared" si="87"/>
        <v>0.73023060056338673</v>
      </c>
      <c r="AG75" s="135">
        <f>Données!G53</f>
        <v>0</v>
      </c>
      <c r="AH75" s="136">
        <f>Données!H53</f>
        <v>0</v>
      </c>
      <c r="AI75" s="107"/>
      <c r="AJ75" s="154" t="str">
        <f t="shared" si="88"/>
        <v/>
      </c>
      <c r="AK75" s="155" t="str">
        <f t="shared" si="89"/>
        <v/>
      </c>
      <c r="AL75" s="156"/>
      <c r="AM75" s="157"/>
      <c r="AN75" s="107"/>
      <c r="AO75" s="158" t="str">
        <f t="shared" si="90"/>
        <v/>
      </c>
    </row>
    <row r="76" spans="1:41" ht="16.95" customHeight="1" x14ac:dyDescent="0.3">
      <c r="A76" s="110" t="s">
        <v>150</v>
      </c>
      <c r="B76" s="137">
        <f>Données!B54</f>
        <v>103</v>
      </c>
      <c r="C76" s="137">
        <f>Données!C54</f>
        <v>108</v>
      </c>
      <c r="D76" s="137">
        <f>Données!D54</f>
        <v>113</v>
      </c>
      <c r="E76" s="137">
        <f>Données!E54</f>
        <v>119</v>
      </c>
      <c r="F76" s="137">
        <f>Données!F54</f>
        <v>125</v>
      </c>
      <c r="G76" s="137">
        <f>IF(ABS(B76-TREND($B76:$F76,{1,2,3,4,5},1))/ABS(TREND($B76:$F76,{1,2,3,4,5},1))&gt;$B$5,TREND($B76:$F76,{1,2,3,4,5},1),B76)</f>
        <v>103</v>
      </c>
      <c r="H76" s="137">
        <f>IF(ABS(C76-TREND($B76:$F76,{1,2,3,4,5},2))/ABS(TREND($B76:$F76,{1,2,3,4,5},2))&gt;$B$5,TREND($B76:$F76,{1,2,3,4,5},2),C76)</f>
        <v>108</v>
      </c>
      <c r="I76" s="137">
        <f>IF(ABS(D76-TREND($B76:$F76,{1,2,3,4,5},3))/ABS(TREND($B76:$F76,{1,2,3,4,5},3))&gt;$B$5,TREND($B76:$F76,{1,2,3,4,5},3),D76)</f>
        <v>113</v>
      </c>
      <c r="J76" s="137">
        <f>IF(ABS(E76-TREND($B76:$F76,{1,2,3,4,5},4))/ABS(TREND($B76:$F76,{1,2,3,4,5},4))&gt;$B$5,TREND($B76:$F76,{1,2,3,4,5},4),E76)</f>
        <v>119</v>
      </c>
      <c r="K76" s="137">
        <f>IF(ABS(F76-TREND($B76:$F76,{1,2,3,4,5},5))/ABS(TREND($B76:$F76,{1,2,3,4,5},5))&gt;$B$5,TREND($B76:$F76,{1,2,3,4,5},5),F76)</f>
        <v>125</v>
      </c>
      <c r="L76" s="138" t="str">
        <f>IF(AND(ABS(B76-TREND($B76:$F76,{1,2,3,4,5},1))/ABS(TREND($B76:$F76,{1,2,3,4,5},1))&gt;$B$5&lt;=$B$5,ABS(C76-TREND($B76:$F76,{1,2,3,4,5},2))/ABS(TREND($B76:$F76,{1,2,3,4,5},2))&gt;$B$5&lt;=$B$5,ABS(D76-TREND($B76:$F76,{1,2,3,4,5},3))/ABS(TREND($B76:$F76,{1,2,3,4,5},3))&gt;$B$5&lt;=$B$5,ABS(E76-TREND($B76:$F76,{1,2,3,4,5},4))/ABS(TREND($B76:$F76,{1,2,3,4,5},4))&gt;$B$5&lt;=$B$5,ABS(F76-TREND($B76:$F76,{1,2,3,4,5},5))/ABS(TREND($B76:$F76,{1,2,3,4,5},5))&gt;$B$5&lt;=$B$5),"✓",TRIM(IF(ABS(B76-TREND($B76:$F76,{1,2,3,4,5},1))/ABS(TREND($B76:$F76,{1,2,3,4,5},1))&gt;$B$5,"⚠Y-5 ","")&amp;IF(ABS(C76-TREND($B76:$F76,{1,2,3,4,5},2))/ABS(TREND($B76:$F76,{1,2,3,4,5},2))&gt;$B$5,"⚠Y-4 ","")&amp;IF(ABS(D76-TREND($B76:$F76,{1,2,3,4,5},3))/ABS(TREND($B76:$F76,{1,2,3,4,5},3))&gt;$B$5,"⚠Y-3 ","")&amp;IF(ABS(E76-TREND($B76:$F76,{1,2,3,4,5},4))/ABS(TREND($B76:$F76,{1,2,3,4,5},4))&gt;$B$5,"⚠Y-2 ","")&amp;IF(ABS(F76-TREND($B76:$F76,{1,2,3,4,5},5))/ABS(TREND($B76:$F76,{1,2,3,4,5},5))&gt;$B$5,"⚠Y-1 ","")))</f>
        <v/>
      </c>
      <c r="M76" s="139">
        <f t="shared" si="71"/>
        <v>1.0282861896838602</v>
      </c>
      <c r="N76" s="139">
        <f t="shared" si="72"/>
        <v>1.0269413629160062</v>
      </c>
      <c r="O76" s="139">
        <f t="shared" si="73"/>
        <v>1.0257186081694403</v>
      </c>
      <c r="P76" s="139">
        <f t="shared" si="74"/>
        <v>1.0280777537796977</v>
      </c>
      <c r="Q76" s="139">
        <f t="shared" si="75"/>
        <v>0.99206349206349209</v>
      </c>
      <c r="R76" s="123">
        <f t="shared" si="76"/>
        <v>1.0096135337888952</v>
      </c>
      <c r="S76" s="124" t="str">
        <f t="shared" si="77"/>
        <v>NS</v>
      </c>
      <c r="T76" s="125" t="str">
        <f t="shared" si="78"/>
        <v>NS</v>
      </c>
      <c r="U76" s="153" t="str">
        <f t="shared" si="79"/>
        <v>H3</v>
      </c>
      <c r="V76" s="126">
        <f t="shared" si="80"/>
        <v>7.3930738067038322E-3</v>
      </c>
      <c r="W76" s="127">
        <f t="shared" si="81"/>
        <v>125.92413422583797</v>
      </c>
      <c r="X76" s="151" t="s">
        <v>236</v>
      </c>
      <c r="Y76" s="151" t="s">
        <v>236</v>
      </c>
      <c r="Z76" s="151" t="s">
        <v>236</v>
      </c>
      <c r="AA76" s="131">
        <f t="shared" si="82"/>
        <v>131.40291514836022</v>
      </c>
      <c r="AB76" s="143" t="str">
        <f t="shared" si="83"/>
        <v/>
      </c>
      <c r="AC76" s="133">
        <f t="shared" si="84"/>
        <v>5.3777004358113835E-3</v>
      </c>
      <c r="AD76" s="133">
        <f t="shared" si="85"/>
        <v>7.3930738067038322E-3</v>
      </c>
      <c r="AE76" s="133">
        <f t="shared" si="86"/>
        <v>1.6622135601639214E-2</v>
      </c>
      <c r="AF76" s="134">
        <f t="shared" si="87"/>
        <v>0.73023060056338673</v>
      </c>
      <c r="AG76" s="144">
        <f>Données!G54</f>
        <v>0</v>
      </c>
      <c r="AH76" s="145">
        <f>Données!H54</f>
        <v>0</v>
      </c>
      <c r="AI76" s="107"/>
      <c r="AJ76" s="159" t="str">
        <f t="shared" si="88"/>
        <v/>
      </c>
      <c r="AK76" s="160" t="str">
        <f t="shared" si="89"/>
        <v/>
      </c>
      <c r="AL76" s="161" t="str">
        <f t="shared" ref="AL76:AL84" si="91">IF(OR(AJ73="",AJ74="",AJ75=""),"",IF(AND(SIGN(AJ73)=SIGN(AJ74),SIGN(AJ74)=SIGN(AJ75),ABS(AJ73)&gt;$B$16,ABS(AJ74)&gt;$B$16,ABS(AJ75)&gt;$B$16),"⚠ Ajuster ce mois de "&amp;TEXT(AVERAGE(AJ73:AJ75),"+0.0%;-0.0%")&amp;" (biais 3 mois précédents)",""))</f>
        <v/>
      </c>
      <c r="AM76" s="162" t="str">
        <f t="shared" ref="AM76:AM84" si="92">IF(OR(AK73="",AK74="",AK75=""),"",IF(AND(SIGN(AK73)=SIGN(AK74),SIGN(AK74)=SIGN(AK75),ABS(AK73)&gt;$B$16,ABS(AK74)&gt;$B$16,ABS(AK75)&gt;$B$16),"⚠ Ajuster ce mois de "&amp;TEXT(AVERAGE(AK73:AK75),"+0.0%;-0.0%")&amp;" (biais 3 mois précédents)",""))</f>
        <v/>
      </c>
      <c r="AN76" s="107"/>
      <c r="AO76" s="163" t="str">
        <f t="shared" si="90"/>
        <v/>
      </c>
    </row>
    <row r="77" spans="1:41" ht="16.95" customHeight="1" x14ac:dyDescent="0.3">
      <c r="A77" s="106" t="s">
        <v>151</v>
      </c>
      <c r="B77" s="120">
        <f>Données!B55</f>
        <v>100</v>
      </c>
      <c r="C77" s="120">
        <f>Données!C55</f>
        <v>105</v>
      </c>
      <c r="D77" s="120">
        <f>Données!D55</f>
        <v>110</v>
      </c>
      <c r="E77" s="120">
        <f>Données!E55</f>
        <v>116</v>
      </c>
      <c r="F77" s="120">
        <f>Données!F55</f>
        <v>122</v>
      </c>
      <c r="G77" s="120">
        <f>IF(ABS(B77-TREND($B77:$F77,{1,2,3,4,5},1))/ABS(TREND($B77:$F77,{1,2,3,4,5},1))&gt;$B$5,TREND($B77:$F77,{1,2,3,4,5},1),B77)</f>
        <v>100</v>
      </c>
      <c r="H77" s="120">
        <f>IF(ABS(C77-TREND($B77:$F77,{1,2,3,4,5},2))/ABS(TREND($B77:$F77,{1,2,3,4,5},2))&gt;$B$5,TREND($B77:$F77,{1,2,3,4,5},2),C77)</f>
        <v>105</v>
      </c>
      <c r="I77" s="120">
        <f>IF(ABS(D77-TREND($B77:$F77,{1,2,3,4,5},3))/ABS(TREND($B77:$F77,{1,2,3,4,5},3))&gt;$B$5,TREND($B77:$F77,{1,2,3,4,5},3),D77)</f>
        <v>110</v>
      </c>
      <c r="J77" s="120">
        <f>IF(ABS(E77-TREND($B77:$F77,{1,2,3,4,5},4))/ABS(TREND($B77:$F77,{1,2,3,4,5},4))&gt;$B$5,TREND($B77:$F77,{1,2,3,4,5},4),E77)</f>
        <v>116</v>
      </c>
      <c r="K77" s="120">
        <f>IF(ABS(F77-TREND($B77:$F77,{1,2,3,4,5},5))/ABS(TREND($B77:$F77,{1,2,3,4,5},5))&gt;$B$5,TREND($B77:$F77,{1,2,3,4,5},5),F77)</f>
        <v>122</v>
      </c>
      <c r="L77" s="121" t="str">
        <f>IF(AND(ABS(B77-TREND($B77:$F77,{1,2,3,4,5},1))/ABS(TREND($B77:$F77,{1,2,3,4,5},1))&gt;$B$5&lt;=$B$5,ABS(C77-TREND($B77:$F77,{1,2,3,4,5},2))/ABS(TREND($B77:$F77,{1,2,3,4,5},2))&gt;$B$5&lt;=$B$5,ABS(D77-TREND($B77:$F77,{1,2,3,4,5},3))/ABS(TREND($B77:$F77,{1,2,3,4,5},3))&gt;$B$5&lt;=$B$5,ABS(E77-TREND($B77:$F77,{1,2,3,4,5},4))/ABS(TREND($B77:$F77,{1,2,3,4,5},4))&gt;$B$5&lt;=$B$5,ABS(F77-TREND($B77:$F77,{1,2,3,4,5},5))/ABS(TREND($B77:$F77,{1,2,3,4,5},5))&gt;$B$5&lt;=$B$5),"✓",TRIM(IF(ABS(B77-TREND($B77:$F77,{1,2,3,4,5},1))/ABS(TREND($B77:$F77,{1,2,3,4,5},1))&gt;$B$5,"⚠Y-5 ","")&amp;IF(ABS(C77-TREND($B77:$F77,{1,2,3,4,5},2))/ABS(TREND($B77:$F77,{1,2,3,4,5},2))&gt;$B$5,"⚠Y-4 ","")&amp;IF(ABS(D77-TREND($B77:$F77,{1,2,3,4,5},3))/ABS(TREND($B77:$F77,{1,2,3,4,5},3))&gt;$B$5,"⚠Y-3 ","")&amp;IF(ABS(E77-TREND($B77:$F77,{1,2,3,4,5},4))/ABS(TREND($B77:$F77,{1,2,3,4,5},4))&gt;$B$5,"⚠Y-2 ","")&amp;IF(ABS(F77-TREND($B77:$F77,{1,2,3,4,5},5))/ABS(TREND($B77:$F77,{1,2,3,4,5},5))&gt;$B$5,"⚠Y-1 ","")))</f>
        <v/>
      </c>
      <c r="M77" s="122">
        <f t="shared" si="71"/>
        <v>0.99833610648918469</v>
      </c>
      <c r="N77" s="122">
        <f t="shared" si="72"/>
        <v>0.99841521394611721</v>
      </c>
      <c r="O77" s="122">
        <f t="shared" si="73"/>
        <v>0.99848714069591527</v>
      </c>
      <c r="P77" s="122">
        <f t="shared" si="74"/>
        <v>1.0021598272138228</v>
      </c>
      <c r="Q77" s="122">
        <f t="shared" si="75"/>
        <v>0.96825396825396826</v>
      </c>
      <c r="R77" s="123">
        <f t="shared" si="76"/>
        <v>0.984090347393207</v>
      </c>
      <c r="S77" s="124" t="str">
        <f t="shared" si="77"/>
        <v>NS</v>
      </c>
      <c r="T77" s="125" t="str">
        <f t="shared" si="78"/>
        <v>NS</v>
      </c>
      <c r="U77" s="153" t="str">
        <f t="shared" si="79"/>
        <v>H3</v>
      </c>
      <c r="V77" s="126">
        <f t="shared" si="80"/>
        <v>7.3930738067038322E-3</v>
      </c>
      <c r="W77" s="127">
        <f t="shared" si="81"/>
        <v>122.90195500441787</v>
      </c>
      <c r="X77" s="150" t="s">
        <v>236</v>
      </c>
      <c r="Y77" s="150" t="s">
        <v>236</v>
      </c>
      <c r="Z77" s="150" t="s">
        <v>236</v>
      </c>
      <c r="AA77" s="131">
        <f t="shared" si="82"/>
        <v>128.41360501567399</v>
      </c>
      <c r="AB77" s="132" t="str">
        <f t="shared" si="83"/>
        <v/>
      </c>
      <c r="AC77" s="133">
        <f t="shared" si="84"/>
        <v>5.3777004358113835E-3</v>
      </c>
      <c r="AD77" s="133">
        <f t="shared" si="85"/>
        <v>7.3930738067038322E-3</v>
      </c>
      <c r="AE77" s="133">
        <f t="shared" si="86"/>
        <v>1.6622135601639214E-2</v>
      </c>
      <c r="AF77" s="134">
        <f t="shared" si="87"/>
        <v>0.73023060056338673</v>
      </c>
      <c r="AG77" s="135">
        <f>Données!G55</f>
        <v>0</v>
      </c>
      <c r="AH77" s="136">
        <f>Données!H55</f>
        <v>0</v>
      </c>
      <c r="AI77" s="107"/>
      <c r="AJ77" s="154" t="str">
        <f t="shared" si="88"/>
        <v/>
      </c>
      <c r="AK77" s="155" t="str">
        <f t="shared" si="89"/>
        <v/>
      </c>
      <c r="AL77" s="156" t="str">
        <f t="shared" si="91"/>
        <v/>
      </c>
      <c r="AM77" s="157" t="str">
        <f t="shared" si="92"/>
        <v/>
      </c>
      <c r="AN77" s="107"/>
      <c r="AO77" s="158" t="str">
        <f t="shared" si="90"/>
        <v/>
      </c>
    </row>
    <row r="78" spans="1:41" ht="16.95" customHeight="1" x14ac:dyDescent="0.3">
      <c r="A78" s="110" t="s">
        <v>152</v>
      </c>
      <c r="B78" s="137">
        <f>Données!B56</f>
        <v>98</v>
      </c>
      <c r="C78" s="137">
        <f>Données!C56</f>
        <v>103</v>
      </c>
      <c r="D78" s="137">
        <f>Données!D56</f>
        <v>108</v>
      </c>
      <c r="E78" s="137">
        <f>Données!E56</f>
        <v>113</v>
      </c>
      <c r="F78" s="137">
        <f>Données!F56</f>
        <v>119</v>
      </c>
      <c r="G78" s="137">
        <f>IF(ABS(B78-TREND($B78:$F78,{1,2,3,4,5},1))/ABS(TREND($B78:$F78,{1,2,3,4,5},1))&gt;$B$5,TREND($B78:$F78,{1,2,3,4,5},1),B78)</f>
        <v>98</v>
      </c>
      <c r="H78" s="137">
        <f>IF(ABS(C78-TREND($B78:$F78,{1,2,3,4,5},2))/ABS(TREND($B78:$F78,{1,2,3,4,5},2))&gt;$B$5,TREND($B78:$F78,{1,2,3,4,5},2),C78)</f>
        <v>103</v>
      </c>
      <c r="I78" s="137">
        <f>IF(ABS(D78-TREND($B78:$F78,{1,2,3,4,5},3))/ABS(TREND($B78:$F78,{1,2,3,4,5},3))&gt;$B$5,TREND($B78:$F78,{1,2,3,4,5},3),D78)</f>
        <v>108</v>
      </c>
      <c r="J78" s="137">
        <f>IF(ABS(E78-TREND($B78:$F78,{1,2,3,4,5},4))/ABS(TREND($B78:$F78,{1,2,3,4,5},4))&gt;$B$5,TREND($B78:$F78,{1,2,3,4,5},4),E78)</f>
        <v>113</v>
      </c>
      <c r="K78" s="137">
        <f>IF(ABS(F78-TREND($B78:$F78,{1,2,3,4,5},5))/ABS(TREND($B78:$F78,{1,2,3,4,5},5))&gt;$B$5,TREND($B78:$F78,{1,2,3,4,5},5),F78)</f>
        <v>119</v>
      </c>
      <c r="L78" s="138" t="str">
        <f>IF(AND(ABS(B78-TREND($B78:$F78,{1,2,3,4,5},1))/ABS(TREND($B78:$F78,{1,2,3,4,5},1))&gt;$B$5&lt;=$B$5,ABS(C78-TREND($B78:$F78,{1,2,3,4,5},2))/ABS(TREND($B78:$F78,{1,2,3,4,5},2))&gt;$B$5&lt;=$B$5,ABS(D78-TREND($B78:$F78,{1,2,3,4,5},3))/ABS(TREND($B78:$F78,{1,2,3,4,5},3))&gt;$B$5&lt;=$B$5,ABS(E78-TREND($B78:$F78,{1,2,3,4,5},4))/ABS(TREND($B78:$F78,{1,2,3,4,5},4))&gt;$B$5&lt;=$B$5,ABS(F78-TREND($B78:$F78,{1,2,3,4,5},5))/ABS(TREND($B78:$F78,{1,2,3,4,5},5))&gt;$B$5&lt;=$B$5),"✓",TRIM(IF(ABS(B78-TREND($B78:$F78,{1,2,3,4,5},1))/ABS(TREND($B78:$F78,{1,2,3,4,5},1))&gt;$B$5,"⚠Y-5 ","")&amp;IF(ABS(C78-TREND($B78:$F78,{1,2,3,4,5},2))/ABS(TREND($B78:$F78,{1,2,3,4,5},2))&gt;$B$5,"⚠Y-4 ","")&amp;IF(ABS(D78-TREND($B78:$F78,{1,2,3,4,5},3))/ABS(TREND($B78:$F78,{1,2,3,4,5},3))&gt;$B$5,"⚠Y-3 ","")&amp;IF(ABS(E78-TREND($B78:$F78,{1,2,3,4,5},4))/ABS(TREND($B78:$F78,{1,2,3,4,5},4))&gt;$B$5,"⚠Y-2 ","")&amp;IF(ABS(F78-TREND($B78:$F78,{1,2,3,4,5},5))/ABS(TREND($B78:$F78,{1,2,3,4,5},5))&gt;$B$5,"⚠Y-1 ","")))</f>
        <v/>
      </c>
      <c r="M78" s="139">
        <f t="shared" si="71"/>
        <v>0.97836938435940091</v>
      </c>
      <c r="N78" s="139">
        <f t="shared" si="72"/>
        <v>0.97939778129952448</v>
      </c>
      <c r="O78" s="139">
        <f t="shared" si="73"/>
        <v>0.98033282904689856</v>
      </c>
      <c r="P78" s="139">
        <f t="shared" si="74"/>
        <v>0.97624190064794814</v>
      </c>
      <c r="Q78" s="139">
        <f t="shared" si="75"/>
        <v>0.94444444444444442</v>
      </c>
      <c r="R78" s="123">
        <f t="shared" si="76"/>
        <v>0.96137877405676919</v>
      </c>
      <c r="S78" s="124" t="str">
        <f t="shared" si="77"/>
        <v>NS</v>
      </c>
      <c r="T78" s="125" t="str">
        <f t="shared" si="78"/>
        <v>NS</v>
      </c>
      <c r="U78" s="153" t="str">
        <f t="shared" si="79"/>
        <v>H3</v>
      </c>
      <c r="V78" s="126">
        <f t="shared" si="80"/>
        <v>7.3930738067038322E-3</v>
      </c>
      <c r="W78" s="127">
        <f t="shared" si="81"/>
        <v>119.87977578299775</v>
      </c>
      <c r="X78" s="151" t="s">
        <v>236</v>
      </c>
      <c r="Y78" s="151" t="s">
        <v>236</v>
      </c>
      <c r="Z78" s="151" t="s">
        <v>236</v>
      </c>
      <c r="AA78" s="131">
        <f t="shared" si="82"/>
        <v>125.07578662733529</v>
      </c>
      <c r="AB78" s="143" t="str">
        <f t="shared" si="83"/>
        <v/>
      </c>
      <c r="AC78" s="133">
        <f t="shared" si="84"/>
        <v>5.3777004358113835E-3</v>
      </c>
      <c r="AD78" s="133">
        <f t="shared" si="85"/>
        <v>7.3930738067038322E-3</v>
      </c>
      <c r="AE78" s="133">
        <f t="shared" si="86"/>
        <v>1.6622135601639214E-2</v>
      </c>
      <c r="AF78" s="134">
        <f t="shared" si="87"/>
        <v>0.73023060056338673</v>
      </c>
      <c r="AG78" s="144">
        <f>Données!G56</f>
        <v>0</v>
      </c>
      <c r="AH78" s="145">
        <f>Données!H56</f>
        <v>0</v>
      </c>
      <c r="AI78" s="107"/>
      <c r="AJ78" s="159" t="str">
        <f t="shared" si="88"/>
        <v/>
      </c>
      <c r="AK78" s="160" t="str">
        <f t="shared" si="89"/>
        <v/>
      </c>
      <c r="AL78" s="161" t="str">
        <f t="shared" si="91"/>
        <v/>
      </c>
      <c r="AM78" s="162" t="str">
        <f t="shared" si="92"/>
        <v/>
      </c>
      <c r="AN78" s="107"/>
      <c r="AO78" s="163" t="str">
        <f t="shared" si="90"/>
        <v/>
      </c>
    </row>
    <row r="79" spans="1:41" ht="16.95" customHeight="1" x14ac:dyDescent="0.3">
      <c r="A79" s="106" t="s">
        <v>153</v>
      </c>
      <c r="B79" s="120">
        <f>Données!B57</f>
        <v>102</v>
      </c>
      <c r="C79" s="120">
        <f>Données!C57</f>
        <v>107</v>
      </c>
      <c r="D79" s="120">
        <f>Données!D57</f>
        <v>112</v>
      </c>
      <c r="E79" s="120">
        <f>Données!E57</f>
        <v>118</v>
      </c>
      <c r="F79" s="120">
        <f>Données!F57</f>
        <v>124</v>
      </c>
      <c r="G79" s="120">
        <f>IF(ABS(B79-TREND($B79:$F79,{1,2,3,4,5},1))/ABS(TREND($B79:$F79,{1,2,3,4,5},1))&gt;$B$5,TREND($B79:$F79,{1,2,3,4,5},1),B79)</f>
        <v>102</v>
      </c>
      <c r="H79" s="120">
        <f>IF(ABS(C79-TREND($B79:$F79,{1,2,3,4,5},2))/ABS(TREND($B79:$F79,{1,2,3,4,5},2))&gt;$B$5,TREND($B79:$F79,{1,2,3,4,5},2),C79)</f>
        <v>107</v>
      </c>
      <c r="I79" s="120">
        <f>IF(ABS(D79-TREND($B79:$F79,{1,2,3,4,5},3))/ABS(TREND($B79:$F79,{1,2,3,4,5},3))&gt;$B$5,TREND($B79:$F79,{1,2,3,4,5},3),D79)</f>
        <v>112</v>
      </c>
      <c r="J79" s="120">
        <f>IF(ABS(E79-TREND($B79:$F79,{1,2,3,4,5},4))/ABS(TREND($B79:$F79,{1,2,3,4,5},4))&gt;$B$5,TREND($B79:$F79,{1,2,3,4,5},4),E79)</f>
        <v>118</v>
      </c>
      <c r="K79" s="120">
        <f>IF(ABS(F79-TREND($B79:$F79,{1,2,3,4,5},5))/ABS(TREND($B79:$F79,{1,2,3,4,5},5))&gt;$B$5,TREND($B79:$F79,{1,2,3,4,5},5),F79)</f>
        <v>124</v>
      </c>
      <c r="L79" s="121" t="str">
        <f>IF(AND(ABS(B79-TREND($B79:$F79,{1,2,3,4,5},1))/ABS(TREND($B79:$F79,{1,2,3,4,5},1))&gt;$B$5&lt;=$B$5,ABS(C79-TREND($B79:$F79,{1,2,3,4,5},2))/ABS(TREND($B79:$F79,{1,2,3,4,5},2))&gt;$B$5&lt;=$B$5,ABS(D79-TREND($B79:$F79,{1,2,3,4,5},3))/ABS(TREND($B79:$F79,{1,2,3,4,5},3))&gt;$B$5&lt;=$B$5,ABS(E79-TREND($B79:$F79,{1,2,3,4,5},4))/ABS(TREND($B79:$F79,{1,2,3,4,5},4))&gt;$B$5&lt;=$B$5,ABS(F79-TREND($B79:$F79,{1,2,3,4,5},5))/ABS(TREND($B79:$F79,{1,2,3,4,5},5))&gt;$B$5&lt;=$B$5),"✓",TRIM(IF(ABS(B79-TREND($B79:$F79,{1,2,3,4,5},1))/ABS(TREND($B79:$F79,{1,2,3,4,5},1))&gt;$B$5,"⚠Y-5 ","")&amp;IF(ABS(C79-TREND($B79:$F79,{1,2,3,4,5},2))/ABS(TREND($B79:$F79,{1,2,3,4,5},2))&gt;$B$5,"⚠Y-4 ","")&amp;IF(ABS(D79-TREND($B79:$F79,{1,2,3,4,5},3))/ABS(TREND($B79:$F79,{1,2,3,4,5},3))&gt;$B$5,"⚠Y-3 ","")&amp;IF(ABS(E79-TREND($B79:$F79,{1,2,3,4,5},4))/ABS(TREND($B79:$F79,{1,2,3,4,5},4))&gt;$B$5,"⚠Y-2 ","")&amp;IF(ABS(F79-TREND($B79:$F79,{1,2,3,4,5},5))/ABS(TREND($B79:$F79,{1,2,3,4,5},5))&gt;$B$5,"⚠Y-1 ","")))</f>
        <v/>
      </c>
      <c r="M79" s="122">
        <f t="shared" si="71"/>
        <v>1.0183028286189684</v>
      </c>
      <c r="N79" s="122">
        <f t="shared" si="72"/>
        <v>1.0174326465927099</v>
      </c>
      <c r="O79" s="122">
        <f t="shared" si="73"/>
        <v>1.0166414523449319</v>
      </c>
      <c r="P79" s="122">
        <f t="shared" si="74"/>
        <v>1.0194384449244061</v>
      </c>
      <c r="Q79" s="122">
        <f t="shared" si="75"/>
        <v>0.98412698412698407</v>
      </c>
      <c r="R79" s="123">
        <f t="shared" si="76"/>
        <v>1.0011058049903325</v>
      </c>
      <c r="S79" s="124" t="str">
        <f t="shared" si="77"/>
        <v>NS</v>
      </c>
      <c r="T79" s="125" t="str">
        <f t="shared" si="78"/>
        <v>NS</v>
      </c>
      <c r="U79" s="153" t="str">
        <f t="shared" si="79"/>
        <v>H3</v>
      </c>
      <c r="V79" s="126">
        <f t="shared" si="80"/>
        <v>7.3930738067038322E-3</v>
      </c>
      <c r="W79" s="127">
        <f t="shared" si="81"/>
        <v>124.91674115203128</v>
      </c>
      <c r="X79" s="150" t="s">
        <v>236</v>
      </c>
      <c r="Y79" s="150" t="s">
        <v>236</v>
      </c>
      <c r="Z79" s="150" t="s">
        <v>236</v>
      </c>
      <c r="AA79" s="131">
        <f t="shared" si="82"/>
        <v>130.40641646489104</v>
      </c>
      <c r="AB79" s="132" t="str">
        <f t="shared" si="83"/>
        <v/>
      </c>
      <c r="AC79" s="133">
        <f t="shared" si="84"/>
        <v>5.3777004358113835E-3</v>
      </c>
      <c r="AD79" s="133">
        <f t="shared" si="85"/>
        <v>7.3930738067038322E-3</v>
      </c>
      <c r="AE79" s="133">
        <f t="shared" si="86"/>
        <v>1.6622135601639214E-2</v>
      </c>
      <c r="AF79" s="134">
        <f t="shared" si="87"/>
        <v>0.73023060056338673</v>
      </c>
      <c r="AG79" s="135">
        <f>Données!G57</f>
        <v>0</v>
      </c>
      <c r="AH79" s="136">
        <f>Données!H57</f>
        <v>0</v>
      </c>
      <c r="AI79" s="107"/>
      <c r="AJ79" s="154" t="str">
        <f t="shared" si="88"/>
        <v/>
      </c>
      <c r="AK79" s="155" t="str">
        <f t="shared" si="89"/>
        <v/>
      </c>
      <c r="AL79" s="156" t="str">
        <f t="shared" si="91"/>
        <v/>
      </c>
      <c r="AM79" s="157" t="str">
        <f t="shared" si="92"/>
        <v/>
      </c>
      <c r="AN79" s="107"/>
      <c r="AO79" s="158" t="str">
        <f t="shared" si="90"/>
        <v/>
      </c>
    </row>
    <row r="80" spans="1:41" ht="16.95" customHeight="1" x14ac:dyDescent="0.3">
      <c r="A80" s="110" t="s">
        <v>154</v>
      </c>
      <c r="B80" s="137">
        <f>Données!B58</f>
        <v>104</v>
      </c>
      <c r="C80" s="137">
        <f>Données!C58</f>
        <v>109</v>
      </c>
      <c r="D80" s="137">
        <f>Données!D58</f>
        <v>114</v>
      </c>
      <c r="E80" s="137">
        <f>Données!E58</f>
        <v>120</v>
      </c>
      <c r="F80" s="137">
        <f>Données!F58</f>
        <v>126</v>
      </c>
      <c r="G80" s="137">
        <f>IF(ABS(B80-TREND($B80:$F80,{1,2,3,4,5},1))/ABS(TREND($B80:$F80,{1,2,3,4,5},1))&gt;$B$5,TREND($B80:$F80,{1,2,3,4,5},1),B80)</f>
        <v>104</v>
      </c>
      <c r="H80" s="137">
        <f>IF(ABS(C80-TREND($B80:$F80,{1,2,3,4,5},2))/ABS(TREND($B80:$F80,{1,2,3,4,5},2))&gt;$B$5,TREND($B80:$F80,{1,2,3,4,5},2),C80)</f>
        <v>109</v>
      </c>
      <c r="I80" s="137">
        <f>IF(ABS(D80-TREND($B80:$F80,{1,2,3,4,5},3))/ABS(TREND($B80:$F80,{1,2,3,4,5},3))&gt;$B$5,TREND($B80:$F80,{1,2,3,4,5},3),D80)</f>
        <v>114</v>
      </c>
      <c r="J80" s="137">
        <f>IF(ABS(E80-TREND($B80:$F80,{1,2,3,4,5},4))/ABS(TREND($B80:$F80,{1,2,3,4,5},4))&gt;$B$5,TREND($B80:$F80,{1,2,3,4,5},4),E80)</f>
        <v>120</v>
      </c>
      <c r="K80" s="137">
        <f>IF(ABS(F80-TREND($B80:$F80,{1,2,3,4,5},5))/ABS(TREND($B80:$F80,{1,2,3,4,5},5))&gt;$B$5,TREND($B80:$F80,{1,2,3,4,5},5),F80)</f>
        <v>126</v>
      </c>
      <c r="L80" s="138" t="str">
        <f>IF(AND(ABS(B80-TREND($B80:$F80,{1,2,3,4,5},1))/ABS(TREND($B80:$F80,{1,2,3,4,5},1))&gt;$B$5&lt;=$B$5,ABS(C80-TREND($B80:$F80,{1,2,3,4,5},2))/ABS(TREND($B80:$F80,{1,2,3,4,5},2))&gt;$B$5&lt;=$B$5,ABS(D80-TREND($B80:$F80,{1,2,3,4,5},3))/ABS(TREND($B80:$F80,{1,2,3,4,5},3))&gt;$B$5&lt;=$B$5,ABS(E80-TREND($B80:$F80,{1,2,3,4,5},4))/ABS(TREND($B80:$F80,{1,2,3,4,5},4))&gt;$B$5&lt;=$B$5,ABS(F80-TREND($B80:$F80,{1,2,3,4,5},5))/ABS(TREND($B80:$F80,{1,2,3,4,5},5))&gt;$B$5&lt;=$B$5),"✓",TRIM(IF(ABS(B80-TREND($B80:$F80,{1,2,3,4,5},1))/ABS(TREND($B80:$F80,{1,2,3,4,5},1))&gt;$B$5,"⚠Y-5 ","")&amp;IF(ABS(C80-TREND($B80:$F80,{1,2,3,4,5},2))/ABS(TREND($B80:$F80,{1,2,3,4,5},2))&gt;$B$5,"⚠Y-4 ","")&amp;IF(ABS(D80-TREND($B80:$F80,{1,2,3,4,5},3))/ABS(TREND($B80:$F80,{1,2,3,4,5},3))&gt;$B$5,"⚠Y-3 ","")&amp;IF(ABS(E80-TREND($B80:$F80,{1,2,3,4,5},4))/ABS(TREND($B80:$F80,{1,2,3,4,5},4))&gt;$B$5,"⚠Y-2 ","")&amp;IF(ABS(F80-TREND($B80:$F80,{1,2,3,4,5},5))/ABS(TREND($B80:$F80,{1,2,3,4,5},5))&gt;$B$5,"⚠Y-1 ","")))</f>
        <v/>
      </c>
      <c r="M80" s="139">
        <f t="shared" si="71"/>
        <v>1.038269550748752</v>
      </c>
      <c r="N80" s="139">
        <f t="shared" si="72"/>
        <v>1.0364500792393025</v>
      </c>
      <c r="O80" s="139">
        <f t="shared" si="73"/>
        <v>1.0347957639939485</v>
      </c>
      <c r="P80" s="139">
        <f t="shared" si="74"/>
        <v>1.0367170626349893</v>
      </c>
      <c r="Q80" s="139">
        <f t="shared" si="75"/>
        <v>1</v>
      </c>
      <c r="R80" s="123">
        <f t="shared" si="76"/>
        <v>1.0181212625874578</v>
      </c>
      <c r="S80" s="124" t="str">
        <f t="shared" si="77"/>
        <v>NS</v>
      </c>
      <c r="T80" s="125" t="str">
        <f t="shared" si="78"/>
        <v>NS</v>
      </c>
      <c r="U80" s="153" t="str">
        <f t="shared" si="79"/>
        <v>H3</v>
      </c>
      <c r="V80" s="126">
        <f t="shared" si="80"/>
        <v>7.3930738067038322E-3</v>
      </c>
      <c r="W80" s="127">
        <f t="shared" si="81"/>
        <v>126.93152729964469</v>
      </c>
      <c r="X80" s="151" t="s">
        <v>236</v>
      </c>
      <c r="Y80" s="151" t="s">
        <v>236</v>
      </c>
      <c r="Z80" s="151" t="s">
        <v>236</v>
      </c>
      <c r="AA80" s="131">
        <f t="shared" si="82"/>
        <v>132.39947368421053</v>
      </c>
      <c r="AB80" s="143" t="str">
        <f t="shared" si="83"/>
        <v/>
      </c>
      <c r="AC80" s="133">
        <f t="shared" si="84"/>
        <v>5.3777004358113835E-3</v>
      </c>
      <c r="AD80" s="133">
        <f t="shared" si="85"/>
        <v>7.3930738067038322E-3</v>
      </c>
      <c r="AE80" s="133">
        <f t="shared" si="86"/>
        <v>1.6622135601639214E-2</v>
      </c>
      <c r="AF80" s="134">
        <f t="shared" si="87"/>
        <v>0.73023060056338673</v>
      </c>
      <c r="AG80" s="144">
        <f>Données!G58</f>
        <v>0</v>
      </c>
      <c r="AH80" s="145">
        <f>Données!H58</f>
        <v>0</v>
      </c>
      <c r="AI80" s="107"/>
      <c r="AJ80" s="159" t="str">
        <f t="shared" si="88"/>
        <v/>
      </c>
      <c r="AK80" s="160" t="str">
        <f t="shared" si="89"/>
        <v/>
      </c>
      <c r="AL80" s="161" t="str">
        <f t="shared" si="91"/>
        <v/>
      </c>
      <c r="AM80" s="162" t="str">
        <f t="shared" si="92"/>
        <v/>
      </c>
      <c r="AN80" s="107"/>
      <c r="AO80" s="163" t="str">
        <f t="shared" si="90"/>
        <v/>
      </c>
    </row>
    <row r="81" spans="1:41" ht="16.95" customHeight="1" x14ac:dyDescent="0.3">
      <c r="A81" s="106" t="s">
        <v>155</v>
      </c>
      <c r="B81" s="120">
        <f>Données!B59</f>
        <v>99</v>
      </c>
      <c r="C81" s="120">
        <f>Données!C59</f>
        <v>104</v>
      </c>
      <c r="D81" s="120">
        <f>Données!D59</f>
        <v>109</v>
      </c>
      <c r="E81" s="120">
        <f>Données!E59</f>
        <v>114</v>
      </c>
      <c r="F81" s="120">
        <f>Données!F59</f>
        <v>120</v>
      </c>
      <c r="G81" s="120">
        <f>IF(ABS(B81-TREND($B81:$F81,{1,2,3,4,5},1))/ABS(TREND($B81:$F81,{1,2,3,4,5},1))&gt;$B$5,TREND($B81:$F81,{1,2,3,4,5},1),B81)</f>
        <v>99</v>
      </c>
      <c r="H81" s="120">
        <f>IF(ABS(C81-TREND($B81:$F81,{1,2,3,4,5},2))/ABS(TREND($B81:$F81,{1,2,3,4,5},2))&gt;$B$5,TREND($B81:$F81,{1,2,3,4,5},2),C81)</f>
        <v>104</v>
      </c>
      <c r="I81" s="120">
        <f>IF(ABS(D81-TREND($B81:$F81,{1,2,3,4,5},3))/ABS(TREND($B81:$F81,{1,2,3,4,5},3))&gt;$B$5,TREND($B81:$F81,{1,2,3,4,5},3),D81)</f>
        <v>109</v>
      </c>
      <c r="J81" s="120">
        <f>IF(ABS(E81-TREND($B81:$F81,{1,2,3,4,5},4))/ABS(TREND($B81:$F81,{1,2,3,4,5},4))&gt;$B$5,TREND($B81:$F81,{1,2,3,4,5},4),E81)</f>
        <v>114</v>
      </c>
      <c r="K81" s="120">
        <f>IF(ABS(F81-TREND($B81:$F81,{1,2,3,4,5},5))/ABS(TREND($B81:$F81,{1,2,3,4,5},5))&gt;$B$5,TREND($B81:$F81,{1,2,3,4,5},5),F81)</f>
        <v>120</v>
      </c>
      <c r="L81" s="121" t="str">
        <f>IF(AND(ABS(B81-TREND($B81:$F81,{1,2,3,4,5},1))/ABS(TREND($B81:$F81,{1,2,3,4,5},1))&gt;$B$5&lt;=$B$5,ABS(C81-TREND($B81:$F81,{1,2,3,4,5},2))/ABS(TREND($B81:$F81,{1,2,3,4,5},2))&gt;$B$5&lt;=$B$5,ABS(D81-TREND($B81:$F81,{1,2,3,4,5},3))/ABS(TREND($B81:$F81,{1,2,3,4,5},3))&gt;$B$5&lt;=$B$5,ABS(E81-TREND($B81:$F81,{1,2,3,4,5},4))/ABS(TREND($B81:$F81,{1,2,3,4,5},4))&gt;$B$5&lt;=$B$5,ABS(F81-TREND($B81:$F81,{1,2,3,4,5},5))/ABS(TREND($B81:$F81,{1,2,3,4,5},5))&gt;$B$5&lt;=$B$5),"✓",TRIM(IF(ABS(B81-TREND($B81:$F81,{1,2,3,4,5},1))/ABS(TREND($B81:$F81,{1,2,3,4,5},1))&gt;$B$5,"⚠Y-5 ","")&amp;IF(ABS(C81-TREND($B81:$F81,{1,2,3,4,5},2))/ABS(TREND($B81:$F81,{1,2,3,4,5},2))&gt;$B$5,"⚠Y-4 ","")&amp;IF(ABS(D81-TREND($B81:$F81,{1,2,3,4,5},3))/ABS(TREND($B81:$F81,{1,2,3,4,5},3))&gt;$B$5,"⚠Y-3 ","")&amp;IF(ABS(E81-TREND($B81:$F81,{1,2,3,4,5},4))/ABS(TREND($B81:$F81,{1,2,3,4,5},4))&gt;$B$5,"⚠Y-2 ","")&amp;IF(ABS(F81-TREND($B81:$F81,{1,2,3,4,5},5))/ABS(TREND($B81:$F81,{1,2,3,4,5},5))&gt;$B$5,"⚠Y-1 ","")))</f>
        <v/>
      </c>
      <c r="M81" s="122">
        <f t="shared" si="71"/>
        <v>0.98835274542429274</v>
      </c>
      <c r="N81" s="122">
        <f t="shared" si="72"/>
        <v>0.9889064976228209</v>
      </c>
      <c r="O81" s="122">
        <f t="shared" si="73"/>
        <v>0.98940998487140697</v>
      </c>
      <c r="P81" s="122">
        <f t="shared" si="74"/>
        <v>0.98488120950323976</v>
      </c>
      <c r="Q81" s="122">
        <f t="shared" si="75"/>
        <v>0.95238095238095233</v>
      </c>
      <c r="R81" s="123">
        <f t="shared" si="76"/>
        <v>0.96988650285533196</v>
      </c>
      <c r="S81" s="124" t="str">
        <f t="shared" si="77"/>
        <v>NS</v>
      </c>
      <c r="T81" s="125" t="str">
        <f t="shared" si="78"/>
        <v>NS</v>
      </c>
      <c r="U81" s="153" t="str">
        <f t="shared" si="79"/>
        <v>H3</v>
      </c>
      <c r="V81" s="126">
        <f t="shared" si="80"/>
        <v>7.3930738067038322E-3</v>
      </c>
      <c r="W81" s="127">
        <f t="shared" si="81"/>
        <v>120.88716885680446</v>
      </c>
      <c r="X81" s="150" t="s">
        <v>236</v>
      </c>
      <c r="Y81" s="150" t="s">
        <v>236</v>
      </c>
      <c r="Z81" s="150" t="s">
        <v>236</v>
      </c>
      <c r="AA81" s="131">
        <f t="shared" si="82"/>
        <v>126.07242877836794</v>
      </c>
      <c r="AB81" s="132" t="str">
        <f t="shared" si="83"/>
        <v/>
      </c>
      <c r="AC81" s="133">
        <f t="shared" si="84"/>
        <v>5.3777004358113835E-3</v>
      </c>
      <c r="AD81" s="133">
        <f t="shared" si="85"/>
        <v>7.3930738067038322E-3</v>
      </c>
      <c r="AE81" s="133">
        <f t="shared" si="86"/>
        <v>1.6622135601639214E-2</v>
      </c>
      <c r="AF81" s="134">
        <f t="shared" si="87"/>
        <v>0.73023060056338673</v>
      </c>
      <c r="AG81" s="135">
        <f>Données!G59</f>
        <v>0</v>
      </c>
      <c r="AH81" s="136">
        <f>Données!H59</f>
        <v>0</v>
      </c>
      <c r="AI81" s="107"/>
      <c r="AJ81" s="154" t="str">
        <f t="shared" si="88"/>
        <v/>
      </c>
      <c r="AK81" s="155" t="str">
        <f t="shared" si="89"/>
        <v/>
      </c>
      <c r="AL81" s="156" t="str">
        <f t="shared" si="91"/>
        <v/>
      </c>
      <c r="AM81" s="157" t="str">
        <f t="shared" si="92"/>
        <v/>
      </c>
      <c r="AN81" s="107"/>
      <c r="AO81" s="158" t="str">
        <f t="shared" si="90"/>
        <v/>
      </c>
    </row>
    <row r="82" spans="1:41" ht="16.95" customHeight="1" x14ac:dyDescent="0.3">
      <c r="A82" s="110" t="s">
        <v>156</v>
      </c>
      <c r="B82" s="137">
        <f>Données!B60</f>
        <v>101</v>
      </c>
      <c r="C82" s="137">
        <f>Données!C60</f>
        <v>106</v>
      </c>
      <c r="D82" s="137">
        <f>Données!D60</f>
        <v>111</v>
      </c>
      <c r="E82" s="137">
        <f>Données!E60</f>
        <v>117</v>
      </c>
      <c r="F82" s="137">
        <f>Données!F60</f>
        <v>140</v>
      </c>
      <c r="G82" s="137">
        <f>IF(ABS(B82-TREND($B82:$F82,{1,2,3,4,5},1))/ABS(TREND($B82:$F82,{1,2,3,4,5},1))&gt;$B$5,TREND($B82:$F82,{1,2,3,4,5},1),B82)</f>
        <v>101</v>
      </c>
      <c r="H82" s="137">
        <f>IF(ABS(C82-TREND($B82:$F82,{1,2,3,4,5},2))/ABS(TREND($B82:$F82,{1,2,3,4,5},2))&gt;$B$5,TREND($B82:$F82,{1,2,3,4,5},2),C82)</f>
        <v>106</v>
      </c>
      <c r="I82" s="137">
        <f>IF(ABS(D82-TREND($B82:$F82,{1,2,3,4,5},3))/ABS(TREND($B82:$F82,{1,2,3,4,5},3))&gt;$B$5,TREND($B82:$F82,{1,2,3,4,5},3),D82)</f>
        <v>111</v>
      </c>
      <c r="J82" s="137">
        <f>IF(ABS(E82-TREND($B82:$F82,{1,2,3,4,5},4))/ABS(TREND($B82:$F82,{1,2,3,4,5},4))&gt;$B$5,TREND($B82:$F82,{1,2,3,4,5},4),E82)</f>
        <v>117</v>
      </c>
      <c r="K82" s="137">
        <f>IF(ABS(F82-TREND($B82:$F82,{1,2,3,4,5},5))/ABS(TREND($B82:$F82,{1,2,3,4,5},5))&gt;$B$5,TREND($B82:$F82,{1,2,3,4,5},5),F82)</f>
        <v>140</v>
      </c>
      <c r="L82" s="138" t="str">
        <f>IF(AND(ABS(B82-TREND($B82:$F82,{1,2,3,4,5},1))/ABS(TREND($B82:$F82,{1,2,3,4,5},1))&gt;$B$5&lt;=$B$5,ABS(C82-TREND($B82:$F82,{1,2,3,4,5},2))/ABS(TREND($B82:$F82,{1,2,3,4,5},2))&gt;$B$5&lt;=$B$5,ABS(D82-TREND($B82:$F82,{1,2,3,4,5},3))/ABS(TREND($B82:$F82,{1,2,3,4,5},3))&gt;$B$5&lt;=$B$5,ABS(E82-TREND($B82:$F82,{1,2,3,4,5},4))/ABS(TREND($B82:$F82,{1,2,3,4,5},4))&gt;$B$5&lt;=$B$5,ABS(F82-TREND($B82:$F82,{1,2,3,4,5},5))/ABS(TREND($B82:$F82,{1,2,3,4,5},5))&gt;$B$5&lt;=$B$5),"✓",TRIM(IF(ABS(B82-TREND($B82:$F82,{1,2,3,4,5},1))/ABS(TREND($B82:$F82,{1,2,3,4,5},1))&gt;$B$5,"⚠Y-5 ","")&amp;IF(ABS(C82-TREND($B82:$F82,{1,2,3,4,5},2))/ABS(TREND($B82:$F82,{1,2,3,4,5},2))&gt;$B$5,"⚠Y-4 ","")&amp;IF(ABS(D82-TREND($B82:$F82,{1,2,3,4,5},3))/ABS(TREND($B82:$F82,{1,2,3,4,5},3))&gt;$B$5,"⚠Y-3 ","")&amp;IF(ABS(E82-TREND($B82:$F82,{1,2,3,4,5},4))/ABS(TREND($B82:$F82,{1,2,3,4,5},4))&gt;$B$5,"⚠Y-2 ","")&amp;IF(ABS(F82-TREND($B82:$F82,{1,2,3,4,5},5))/ABS(TREND($B82:$F82,{1,2,3,4,5},5))&gt;$B$5,"⚠Y-1 ","")))</f>
        <v/>
      </c>
      <c r="M82" s="139">
        <f t="shared" si="71"/>
        <v>1.0083194675540765</v>
      </c>
      <c r="N82" s="139">
        <f t="shared" si="72"/>
        <v>1.0079239302694136</v>
      </c>
      <c r="O82" s="139">
        <f t="shared" si="73"/>
        <v>1.0075642965204235</v>
      </c>
      <c r="P82" s="139">
        <f t="shared" si="74"/>
        <v>1.0107991360691144</v>
      </c>
      <c r="Q82" s="139">
        <f t="shared" si="75"/>
        <v>1.1111111111111112</v>
      </c>
      <c r="R82" s="123">
        <f t="shared" si="76"/>
        <v>1.0600583936520871</v>
      </c>
      <c r="S82" s="124" t="str">
        <f t="shared" si="77"/>
        <v>NS</v>
      </c>
      <c r="T82" s="125" t="str">
        <f t="shared" si="78"/>
        <v>NS</v>
      </c>
      <c r="U82" s="153" t="str">
        <f t="shared" si="79"/>
        <v>H3</v>
      </c>
      <c r="V82" s="126">
        <f t="shared" si="80"/>
        <v>7.3930738067038322E-3</v>
      </c>
      <c r="W82" s="127">
        <f t="shared" si="81"/>
        <v>141.03503033293853</v>
      </c>
      <c r="X82" s="151" t="s">
        <v>236</v>
      </c>
      <c r="Y82" s="151" t="s">
        <v>236</v>
      </c>
      <c r="Z82" s="151" t="s">
        <v>236</v>
      </c>
      <c r="AA82" s="131">
        <f t="shared" si="82"/>
        <v>161.53522753522756</v>
      </c>
      <c r="AB82" s="143" t="str">
        <f t="shared" si="83"/>
        <v>⚡ accél.</v>
      </c>
      <c r="AC82" s="133">
        <f t="shared" si="84"/>
        <v>5.3777004358113835E-3</v>
      </c>
      <c r="AD82" s="133">
        <f t="shared" si="85"/>
        <v>7.3930738067038322E-3</v>
      </c>
      <c r="AE82" s="133">
        <f t="shared" si="86"/>
        <v>1.6622135601639214E-2</v>
      </c>
      <c r="AF82" s="134">
        <f t="shared" si="87"/>
        <v>0.73023060056338673</v>
      </c>
      <c r="AG82" s="144">
        <f>Données!G60</f>
        <v>0</v>
      </c>
      <c r="AH82" s="145">
        <f>Données!H60</f>
        <v>0</v>
      </c>
      <c r="AI82" s="107"/>
      <c r="AJ82" s="159" t="str">
        <f t="shared" si="88"/>
        <v/>
      </c>
      <c r="AK82" s="160" t="str">
        <f t="shared" si="89"/>
        <v/>
      </c>
      <c r="AL82" s="161" t="str">
        <f t="shared" si="91"/>
        <v/>
      </c>
      <c r="AM82" s="162" t="str">
        <f t="shared" si="92"/>
        <v/>
      </c>
      <c r="AN82" s="107"/>
      <c r="AO82" s="163" t="str">
        <f t="shared" si="90"/>
        <v/>
      </c>
    </row>
    <row r="83" spans="1:41" ht="16.95" customHeight="1" x14ac:dyDescent="0.3">
      <c r="A83" s="106" t="s">
        <v>157</v>
      </c>
      <c r="B83" s="120">
        <f>Données!B61</f>
        <v>98</v>
      </c>
      <c r="C83" s="120">
        <f>Données!C61</f>
        <v>103</v>
      </c>
      <c r="D83" s="120">
        <f>Données!D61</f>
        <v>108</v>
      </c>
      <c r="E83" s="120">
        <f>Données!E61</f>
        <v>113</v>
      </c>
      <c r="F83" s="120">
        <f>Données!F61</f>
        <v>136</v>
      </c>
      <c r="G83" s="120">
        <f>IF(ABS(B83-TREND($B83:$F83,{1,2,3,4,5},1))/ABS(TREND($B83:$F83,{1,2,3,4,5},1))&gt;$B$5,TREND($B83:$F83,{1,2,3,4,5},1),B83)</f>
        <v>98</v>
      </c>
      <c r="H83" s="120">
        <f>IF(ABS(C83-TREND($B83:$F83,{1,2,3,4,5},2))/ABS(TREND($B83:$F83,{1,2,3,4,5},2))&gt;$B$5,TREND($B83:$F83,{1,2,3,4,5},2),C83)</f>
        <v>103</v>
      </c>
      <c r="I83" s="120">
        <f>IF(ABS(D83-TREND($B83:$F83,{1,2,3,4,5},3))/ABS(TREND($B83:$F83,{1,2,3,4,5},3))&gt;$B$5,TREND($B83:$F83,{1,2,3,4,5},3),D83)</f>
        <v>108</v>
      </c>
      <c r="J83" s="120">
        <f>IF(ABS(E83-TREND($B83:$F83,{1,2,3,4,5},4))/ABS(TREND($B83:$F83,{1,2,3,4,5},4))&gt;$B$5,TREND($B83:$F83,{1,2,3,4,5},4),E83)</f>
        <v>113</v>
      </c>
      <c r="K83" s="120">
        <f>IF(ABS(F83-TREND($B83:$F83,{1,2,3,4,5},5))/ABS(TREND($B83:$F83,{1,2,3,4,5},5))&gt;$B$5,TREND($B83:$F83,{1,2,3,4,5},5),F83)</f>
        <v>136</v>
      </c>
      <c r="L83" s="121" t="str">
        <f>IF(AND(ABS(B83-TREND($B83:$F83,{1,2,3,4,5},1))/ABS(TREND($B83:$F83,{1,2,3,4,5},1))&gt;$B$5&lt;=$B$5,ABS(C83-TREND($B83:$F83,{1,2,3,4,5},2))/ABS(TREND($B83:$F83,{1,2,3,4,5},2))&gt;$B$5&lt;=$B$5,ABS(D83-TREND($B83:$F83,{1,2,3,4,5},3))/ABS(TREND($B83:$F83,{1,2,3,4,5},3))&gt;$B$5&lt;=$B$5,ABS(E83-TREND($B83:$F83,{1,2,3,4,5},4))/ABS(TREND($B83:$F83,{1,2,3,4,5},4))&gt;$B$5&lt;=$B$5,ABS(F83-TREND($B83:$F83,{1,2,3,4,5},5))/ABS(TREND($B83:$F83,{1,2,3,4,5},5))&gt;$B$5&lt;=$B$5),"✓",TRIM(IF(ABS(B83-TREND($B83:$F83,{1,2,3,4,5},1))/ABS(TREND($B83:$F83,{1,2,3,4,5},1))&gt;$B$5,"⚠Y-5 ","")&amp;IF(ABS(C83-TREND($B83:$F83,{1,2,3,4,5},2))/ABS(TREND($B83:$F83,{1,2,3,4,5},2))&gt;$B$5,"⚠Y-4 ","")&amp;IF(ABS(D83-TREND($B83:$F83,{1,2,3,4,5},3))/ABS(TREND($B83:$F83,{1,2,3,4,5},3))&gt;$B$5,"⚠Y-3 ","")&amp;IF(ABS(E83-TREND($B83:$F83,{1,2,3,4,5},4))/ABS(TREND($B83:$F83,{1,2,3,4,5},4))&gt;$B$5,"⚠Y-2 ","")&amp;IF(ABS(F83-TREND($B83:$F83,{1,2,3,4,5},5))/ABS(TREND($B83:$F83,{1,2,3,4,5},5))&gt;$B$5,"⚠Y-1 ","")))</f>
        <v/>
      </c>
      <c r="M83" s="122">
        <f t="shared" si="71"/>
        <v>0.97836938435940091</v>
      </c>
      <c r="N83" s="122">
        <f t="shared" si="72"/>
        <v>0.97939778129952448</v>
      </c>
      <c r="O83" s="122">
        <f t="shared" si="73"/>
        <v>0.98033282904689856</v>
      </c>
      <c r="P83" s="122">
        <f t="shared" si="74"/>
        <v>0.97624190064794814</v>
      </c>
      <c r="Q83" s="122">
        <f t="shared" si="75"/>
        <v>1.0793650793650793</v>
      </c>
      <c r="R83" s="123">
        <f t="shared" si="76"/>
        <v>1.0288390915170866</v>
      </c>
      <c r="S83" s="124" t="str">
        <f t="shared" si="77"/>
        <v>NS</v>
      </c>
      <c r="T83" s="125" t="str">
        <f t="shared" si="78"/>
        <v>NS</v>
      </c>
      <c r="U83" s="153" t="str">
        <f t="shared" si="79"/>
        <v>H3</v>
      </c>
      <c r="V83" s="126">
        <f t="shared" si="80"/>
        <v>7.3930738067038322E-3</v>
      </c>
      <c r="W83" s="127">
        <f t="shared" si="81"/>
        <v>137.00545803771172</v>
      </c>
      <c r="X83" s="150" t="s">
        <v>236</v>
      </c>
      <c r="Y83" s="150" t="s">
        <v>236</v>
      </c>
      <c r="Z83" s="150" t="s">
        <v>236</v>
      </c>
      <c r="AA83" s="131">
        <f t="shared" si="82"/>
        <v>157.26588003933136</v>
      </c>
      <c r="AB83" s="132" t="str">
        <f t="shared" si="83"/>
        <v>⚡ accél.</v>
      </c>
      <c r="AC83" s="133">
        <f t="shared" si="84"/>
        <v>5.3777004358113835E-3</v>
      </c>
      <c r="AD83" s="133">
        <f t="shared" si="85"/>
        <v>7.3930738067038322E-3</v>
      </c>
      <c r="AE83" s="133">
        <f t="shared" si="86"/>
        <v>1.6622135601639214E-2</v>
      </c>
      <c r="AF83" s="134">
        <f t="shared" si="87"/>
        <v>0.73023060056338673</v>
      </c>
      <c r="AG83" s="135">
        <f>Données!G61</f>
        <v>0</v>
      </c>
      <c r="AH83" s="136">
        <f>Données!H61</f>
        <v>0</v>
      </c>
      <c r="AI83" s="107"/>
      <c r="AJ83" s="154" t="str">
        <f t="shared" si="88"/>
        <v/>
      </c>
      <c r="AK83" s="155" t="str">
        <f t="shared" si="89"/>
        <v/>
      </c>
      <c r="AL83" s="156" t="str">
        <f t="shared" si="91"/>
        <v/>
      </c>
      <c r="AM83" s="157" t="str">
        <f t="shared" si="92"/>
        <v/>
      </c>
      <c r="AN83" s="107"/>
      <c r="AO83" s="158" t="str">
        <f t="shared" si="90"/>
        <v/>
      </c>
    </row>
    <row r="84" spans="1:41" ht="16.95" customHeight="1" x14ac:dyDescent="0.3">
      <c r="A84" s="110" t="s">
        <v>158</v>
      </c>
      <c r="B84" s="137">
        <f>Données!B62</f>
        <v>100</v>
      </c>
      <c r="C84" s="137">
        <f>Données!C62</f>
        <v>105</v>
      </c>
      <c r="D84" s="137">
        <f>Données!D62</f>
        <v>110</v>
      </c>
      <c r="E84" s="137">
        <f>Données!E62</f>
        <v>116</v>
      </c>
      <c r="F84" s="137">
        <f>Données!F62</f>
        <v>139</v>
      </c>
      <c r="G84" s="137">
        <f>IF(ABS(B84-TREND($B84:$F84,{1,2,3,4,5},1))/ABS(TREND($B84:$F84,{1,2,3,4,5},1))&gt;$B$5,TREND($B84:$F84,{1,2,3,4,5},1),B84)</f>
        <v>100</v>
      </c>
      <c r="H84" s="137">
        <f>IF(ABS(C84-TREND($B84:$F84,{1,2,3,4,5},2))/ABS(TREND($B84:$F84,{1,2,3,4,5},2))&gt;$B$5,TREND($B84:$F84,{1,2,3,4,5},2),C84)</f>
        <v>105</v>
      </c>
      <c r="I84" s="137">
        <f>IF(ABS(D84-TREND($B84:$F84,{1,2,3,4,5},3))/ABS(TREND($B84:$F84,{1,2,3,4,5},3))&gt;$B$5,TREND($B84:$F84,{1,2,3,4,5},3),D84)</f>
        <v>110</v>
      </c>
      <c r="J84" s="137">
        <f>IF(ABS(E84-TREND($B84:$F84,{1,2,3,4,5},4))/ABS(TREND($B84:$F84,{1,2,3,4,5},4))&gt;$B$5,TREND($B84:$F84,{1,2,3,4,5},4),E84)</f>
        <v>116</v>
      </c>
      <c r="K84" s="137">
        <f>IF(ABS(F84-TREND($B84:$F84,{1,2,3,4,5},5))/ABS(TREND($B84:$F84,{1,2,3,4,5},5))&gt;$B$5,TREND($B84:$F84,{1,2,3,4,5},5),F84)</f>
        <v>139</v>
      </c>
      <c r="L84" s="138" t="str">
        <f>IF(AND(ABS(B84-TREND($B84:$F84,{1,2,3,4,5},1))/ABS(TREND($B84:$F84,{1,2,3,4,5},1))&gt;$B$5&lt;=$B$5,ABS(C84-TREND($B84:$F84,{1,2,3,4,5},2))/ABS(TREND($B84:$F84,{1,2,3,4,5},2))&gt;$B$5&lt;=$B$5,ABS(D84-TREND($B84:$F84,{1,2,3,4,5},3))/ABS(TREND($B84:$F84,{1,2,3,4,5},3))&gt;$B$5&lt;=$B$5,ABS(E84-TREND($B84:$F84,{1,2,3,4,5},4))/ABS(TREND($B84:$F84,{1,2,3,4,5},4))&gt;$B$5&lt;=$B$5,ABS(F84-TREND($B84:$F84,{1,2,3,4,5},5))/ABS(TREND($B84:$F84,{1,2,3,4,5},5))&gt;$B$5&lt;=$B$5),"✓",TRIM(IF(ABS(B84-TREND($B84:$F84,{1,2,3,4,5},1))/ABS(TREND($B84:$F84,{1,2,3,4,5},1))&gt;$B$5,"⚠Y-5 ","")&amp;IF(ABS(C84-TREND($B84:$F84,{1,2,3,4,5},2))/ABS(TREND($B84:$F84,{1,2,3,4,5},2))&gt;$B$5,"⚠Y-4 ","")&amp;IF(ABS(D84-TREND($B84:$F84,{1,2,3,4,5},3))/ABS(TREND($B84:$F84,{1,2,3,4,5},3))&gt;$B$5,"⚠Y-3 ","")&amp;IF(ABS(E84-TREND($B84:$F84,{1,2,3,4,5},4))/ABS(TREND($B84:$F84,{1,2,3,4,5},4))&gt;$B$5,"⚠Y-2 ","")&amp;IF(ABS(F84-TREND($B84:$F84,{1,2,3,4,5},5))/ABS(TREND($B84:$F84,{1,2,3,4,5},5))&gt;$B$5,"⚠Y-1 ","")))</f>
        <v/>
      </c>
      <c r="M84" s="139">
        <f t="shared" si="71"/>
        <v>0.99833610648918469</v>
      </c>
      <c r="N84" s="139">
        <f t="shared" si="72"/>
        <v>0.99841521394611721</v>
      </c>
      <c r="O84" s="139">
        <f t="shared" si="73"/>
        <v>0.99848714069591527</v>
      </c>
      <c r="P84" s="139">
        <f t="shared" si="74"/>
        <v>1.0021598272138228</v>
      </c>
      <c r="Q84" s="139">
        <f t="shared" si="75"/>
        <v>1.1031746031746033</v>
      </c>
      <c r="R84" s="123">
        <f t="shared" si="76"/>
        <v>1.0515506648535244</v>
      </c>
      <c r="S84" s="124" t="str">
        <f t="shared" si="77"/>
        <v>NS</v>
      </c>
      <c r="T84" s="125" t="str">
        <f t="shared" si="78"/>
        <v>NS</v>
      </c>
      <c r="U84" s="153" t="str">
        <f t="shared" si="79"/>
        <v>H3</v>
      </c>
      <c r="V84" s="126">
        <f t="shared" si="80"/>
        <v>7.3930738067038322E-3</v>
      </c>
      <c r="W84" s="127">
        <f t="shared" si="81"/>
        <v>140.02763725913184</v>
      </c>
      <c r="X84" s="151" t="s">
        <v>236</v>
      </c>
      <c r="Y84" s="151" t="s">
        <v>236</v>
      </c>
      <c r="Z84" s="151" t="s">
        <v>236</v>
      </c>
      <c r="AA84" s="131">
        <f t="shared" si="82"/>
        <v>160.56678683385582</v>
      </c>
      <c r="AB84" s="143" t="str">
        <f t="shared" si="83"/>
        <v>⚡ accél.</v>
      </c>
      <c r="AC84" s="133">
        <f t="shared" si="84"/>
        <v>5.3777004358113835E-3</v>
      </c>
      <c r="AD84" s="133">
        <f t="shared" si="85"/>
        <v>7.3930738067038322E-3</v>
      </c>
      <c r="AE84" s="133">
        <f t="shared" si="86"/>
        <v>1.6622135601639214E-2</v>
      </c>
      <c r="AF84" s="134">
        <f t="shared" si="87"/>
        <v>0.73023060056338673</v>
      </c>
      <c r="AG84" s="144">
        <f>Données!G62</f>
        <v>0</v>
      </c>
      <c r="AH84" s="145">
        <f>Données!H62</f>
        <v>0</v>
      </c>
      <c r="AI84" s="107"/>
      <c r="AJ84" s="159" t="str">
        <f t="shared" si="88"/>
        <v/>
      </c>
      <c r="AK84" s="160" t="str">
        <f t="shared" si="89"/>
        <v/>
      </c>
      <c r="AL84" s="161" t="str">
        <f t="shared" si="91"/>
        <v/>
      </c>
      <c r="AM84" s="162" t="str">
        <f t="shared" si="92"/>
        <v/>
      </c>
      <c r="AN84" s="107"/>
      <c r="AO84" s="163" t="str">
        <f t="shared" si="90"/>
        <v/>
      </c>
    </row>
    <row r="85" spans="1:41" ht="18" customHeight="1" x14ac:dyDescent="0.3">
      <c r="A85" s="146" t="s">
        <v>29</v>
      </c>
      <c r="B85" s="147">
        <f t="shared" ref="B85:K85" si="93">SUM(B73:B84)</f>
        <v>1202</v>
      </c>
      <c r="C85" s="147">
        <f t="shared" si="93"/>
        <v>1262</v>
      </c>
      <c r="D85" s="147">
        <f t="shared" si="93"/>
        <v>1322</v>
      </c>
      <c r="E85" s="147">
        <f t="shared" si="93"/>
        <v>1389</v>
      </c>
      <c r="F85" s="147">
        <f t="shared" si="93"/>
        <v>1512</v>
      </c>
      <c r="G85" s="147">
        <f t="shared" si="93"/>
        <v>1202</v>
      </c>
      <c r="H85" s="147">
        <f t="shared" si="93"/>
        <v>1262</v>
      </c>
      <c r="I85" s="147">
        <f t="shared" si="93"/>
        <v>1322</v>
      </c>
      <c r="J85" s="147">
        <f t="shared" si="93"/>
        <v>1389</v>
      </c>
      <c r="K85" s="147">
        <f t="shared" si="93"/>
        <v>1512</v>
      </c>
      <c r="L85" s="148"/>
      <c r="M85" s="148"/>
      <c r="N85" s="148"/>
      <c r="O85" s="148"/>
      <c r="P85" s="148"/>
      <c r="Q85" s="148"/>
      <c r="R85" s="148"/>
      <c r="S85" s="148"/>
      <c r="T85" s="148"/>
      <c r="U85" s="148"/>
      <c r="V85" s="148"/>
      <c r="W85" s="147">
        <f>SUM(W73:W84)</f>
        <v>1523.1783275957362</v>
      </c>
      <c r="X85" s="147">
        <f>SUM(X73:X84)</f>
        <v>0</v>
      </c>
      <c r="Y85" s="147">
        <f>SUM(Y73:Y84)</f>
        <v>0</v>
      </c>
      <c r="Z85" s="149">
        <f>SUM(Z73:Z84)</f>
        <v>0</v>
      </c>
      <c r="AA85" s="147">
        <f>SUM(AA73:AA84)</f>
        <v>1632.7001337230774</v>
      </c>
      <c r="AB85" s="148"/>
      <c r="AC85" s="148"/>
      <c r="AD85" s="148"/>
      <c r="AE85" s="148"/>
      <c r="AF85" s="148"/>
      <c r="AG85" s="148"/>
      <c r="AH85" s="148"/>
    </row>
    <row r="86" spans="1:41" ht="4.95" customHeight="1" x14ac:dyDescent="0.3">
      <c r="A86" s="48"/>
      <c r="B86" s="48"/>
      <c r="C86" s="48"/>
      <c r="D86" s="48"/>
      <c r="E86" s="48"/>
      <c r="F86" s="48"/>
      <c r="G86" s="48"/>
      <c r="H86" s="48"/>
      <c r="I86" s="48"/>
      <c r="J86" s="48"/>
      <c r="K86" s="48"/>
      <c r="L86" s="48"/>
      <c r="M86" s="48"/>
      <c r="N86" s="48"/>
      <c r="O86" s="48"/>
      <c r="P86" s="48"/>
      <c r="Q86" s="48"/>
      <c r="R86" s="48"/>
      <c r="S86" s="48"/>
      <c r="T86" s="48"/>
      <c r="U86" s="48"/>
    </row>
    <row r="87" spans="1:41" ht="16.05" customHeight="1" x14ac:dyDescent="0.3">
      <c r="A87" s="49" t="s">
        <v>240</v>
      </c>
      <c r="B87" s="50">
        <f>SUMPRODUCT(ABS(J73:J84*(J73:J84/I73:I84)-K73:K84)/K73:K84)/12</f>
        <v>3.4039473331618345E-2</v>
      </c>
      <c r="C87" s="381" t="s">
        <v>233</v>
      </c>
      <c r="D87" s="373"/>
      <c r="E87" s="373"/>
      <c r="F87" s="373"/>
      <c r="G87" s="373"/>
      <c r="H87" s="373"/>
      <c r="I87" s="373"/>
      <c r="J87" s="373"/>
      <c r="K87" s="373"/>
      <c r="L87" s="373"/>
      <c r="M87" s="373"/>
      <c r="N87" s="373"/>
      <c r="O87" s="373"/>
      <c r="P87" s="373"/>
      <c r="Q87" s="373"/>
      <c r="R87" s="373"/>
      <c r="S87" s="373"/>
      <c r="T87" s="374"/>
    </row>
  </sheetData>
  <mergeCells count="26">
    <mergeCell ref="A1:AO1"/>
    <mergeCell ref="K8:AH8"/>
    <mergeCell ref="C36:T36"/>
    <mergeCell ref="C70:T70"/>
    <mergeCell ref="C10:AH10"/>
    <mergeCell ref="C16:AH16"/>
    <mergeCell ref="K7:AH7"/>
    <mergeCell ref="A21:T21"/>
    <mergeCell ref="A55:T55"/>
    <mergeCell ref="C12:AH12"/>
    <mergeCell ref="C53:T53"/>
    <mergeCell ref="C8:F8"/>
    <mergeCell ref="C13:AH13"/>
    <mergeCell ref="C7:F7"/>
    <mergeCell ref="C15:AH15"/>
    <mergeCell ref="A4:AH4"/>
    <mergeCell ref="C87:T87"/>
    <mergeCell ref="C11:AH11"/>
    <mergeCell ref="C9:F9"/>
    <mergeCell ref="A2:AO2"/>
    <mergeCell ref="A38:T38"/>
    <mergeCell ref="A72:T72"/>
    <mergeCell ref="K9:AH9"/>
    <mergeCell ref="C6:AH6"/>
    <mergeCell ref="C14:AH14"/>
    <mergeCell ref="C5:AH5"/>
  </mergeCells>
  <conditionalFormatting sqref="U22:U33">
    <cfRule type="expression" dxfId="21" priority="1">
      <formula>OR(U22="H2",U22="H2b")</formula>
    </cfRule>
    <cfRule type="expression" dxfId="20" priority="2">
      <formula>U22="H3"</formula>
    </cfRule>
  </conditionalFormatting>
  <conditionalFormatting sqref="U39:U50">
    <cfRule type="expression" dxfId="19" priority="3">
      <formula>OR(U39="H2",U39="H2b")</formula>
    </cfRule>
    <cfRule type="expression" dxfId="18" priority="4">
      <formula>U39="H3"</formula>
    </cfRule>
  </conditionalFormatting>
  <conditionalFormatting sqref="U56:U67">
    <cfRule type="expression" dxfId="17" priority="5">
      <formula>OR(U56="H2",U56="H2b")</formula>
    </cfRule>
    <cfRule type="expression" dxfId="16" priority="6">
      <formula>U56="H3"</formula>
    </cfRule>
  </conditionalFormatting>
  <conditionalFormatting sqref="U73:U84">
    <cfRule type="expression" dxfId="15" priority="7">
      <formula>OR(U73="H2",U73="H2b")</formula>
    </cfRule>
    <cfRule type="expression" dxfId="14" priority="8">
      <formula>U73="H3"</formula>
    </cfRule>
  </conditionalFormatting>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4"/>
  <sheetViews>
    <sheetView workbookViewId="0"/>
  </sheetViews>
  <sheetFormatPr defaultRowHeight="14.4" x14ac:dyDescent="0.3"/>
  <cols>
    <col min="1" max="1" width="9" customWidth="1"/>
    <col min="2" max="4" width="8" customWidth="1"/>
    <col min="5" max="7" width="11" customWidth="1"/>
    <col min="8" max="8" width="16" customWidth="1"/>
    <col min="9" max="10" width="8" customWidth="1"/>
    <col min="11" max="11" width="12" customWidth="1"/>
    <col min="12" max="12" width="8" customWidth="1"/>
    <col min="13" max="14" width="11" customWidth="1"/>
  </cols>
  <sheetData>
    <row r="1" spans="1:14" ht="48" customHeight="1" x14ac:dyDescent="0.3">
      <c r="A1" s="411" t="s">
        <v>253</v>
      </c>
      <c r="B1" s="373"/>
      <c r="C1" s="373"/>
      <c r="D1" s="373"/>
      <c r="E1" s="373"/>
      <c r="F1" s="373"/>
      <c r="G1" s="373"/>
      <c r="H1" s="373"/>
      <c r="I1" s="373"/>
      <c r="J1" s="373"/>
      <c r="K1" s="373"/>
      <c r="L1" s="373"/>
      <c r="M1" s="373"/>
      <c r="N1" s="374"/>
    </row>
    <row r="2" spans="1:14" ht="18" customHeight="1" x14ac:dyDescent="0.3">
      <c r="A2" s="414" t="s">
        <v>254</v>
      </c>
      <c r="B2" s="373"/>
      <c r="C2" s="373"/>
      <c r="D2" s="373"/>
      <c r="E2" s="373"/>
      <c r="F2" s="373"/>
      <c r="G2" s="373"/>
      <c r="H2" s="373"/>
      <c r="I2" s="373"/>
      <c r="J2" s="374"/>
    </row>
    <row r="3" spans="1:14" ht="16.05" customHeight="1" x14ac:dyDescent="0.3">
      <c r="A3" s="113" t="s">
        <v>255</v>
      </c>
      <c r="B3" s="164">
        <v>0.7</v>
      </c>
      <c r="C3" s="407" t="s">
        <v>256</v>
      </c>
      <c r="D3" s="373"/>
      <c r="E3" s="373"/>
      <c r="F3" s="373"/>
      <c r="G3" s="373"/>
      <c r="H3" s="373"/>
      <c r="I3" s="373"/>
      <c r="J3" s="374"/>
    </row>
    <row r="4" spans="1:14" ht="16.05" customHeight="1" x14ac:dyDescent="0.3">
      <c r="A4" s="113" t="s">
        <v>191</v>
      </c>
      <c r="B4" s="164">
        <f>1-B3</f>
        <v>0.30000000000000004</v>
      </c>
      <c r="C4" s="407" t="s">
        <v>257</v>
      </c>
      <c r="D4" s="373"/>
      <c r="E4" s="373"/>
      <c r="F4" s="373"/>
      <c r="G4" s="373"/>
      <c r="H4" s="373"/>
      <c r="I4" s="373"/>
      <c r="J4" s="374"/>
    </row>
    <row r="5" spans="1:14" ht="16.05" customHeight="1" x14ac:dyDescent="0.3">
      <c r="A5" s="113" t="s">
        <v>258</v>
      </c>
      <c r="B5" s="164">
        <v>0.1</v>
      </c>
      <c r="C5" s="407" t="s">
        <v>259</v>
      </c>
      <c r="D5" s="373"/>
      <c r="E5" s="373"/>
      <c r="F5" s="373"/>
      <c r="G5" s="373"/>
      <c r="H5" s="373"/>
      <c r="I5" s="373"/>
      <c r="J5" s="374"/>
    </row>
    <row r="6" spans="1:14" ht="4.95" customHeight="1" x14ac:dyDescent="0.3">
      <c r="A6" s="48"/>
      <c r="B6" s="48"/>
      <c r="C6" s="48"/>
      <c r="D6" s="48"/>
      <c r="E6" s="48"/>
      <c r="F6" s="48"/>
      <c r="G6" s="48"/>
      <c r="H6" s="48"/>
      <c r="I6" s="48"/>
      <c r="J6" s="48"/>
    </row>
    <row r="7" spans="1:14" ht="18" customHeight="1" x14ac:dyDescent="0.3">
      <c r="A7" s="165" t="s">
        <v>2</v>
      </c>
      <c r="B7" s="104" t="s">
        <v>260</v>
      </c>
      <c r="C7" s="104" t="s">
        <v>261</v>
      </c>
      <c r="D7" s="104" t="s">
        <v>262</v>
      </c>
      <c r="E7" s="166" t="s">
        <v>263</v>
      </c>
      <c r="F7" s="167" t="s">
        <v>264</v>
      </c>
      <c r="G7" s="167" t="s">
        <v>265</v>
      </c>
      <c r="H7" s="168" t="s">
        <v>195</v>
      </c>
      <c r="I7" s="105" t="s">
        <v>99</v>
      </c>
      <c r="J7" s="105" t="s">
        <v>100</v>
      </c>
      <c r="K7" s="104" t="s">
        <v>266</v>
      </c>
      <c r="L7" s="104" t="s">
        <v>267</v>
      </c>
      <c r="M7" s="167" t="s">
        <v>268</v>
      </c>
      <c r="N7" s="168" t="s">
        <v>269</v>
      </c>
    </row>
    <row r="8" spans="1:14" ht="16.05" customHeight="1" x14ac:dyDescent="0.3">
      <c r="A8" s="399" t="s">
        <v>270</v>
      </c>
      <c r="B8" s="373"/>
      <c r="C8" s="373"/>
      <c r="D8" s="373"/>
      <c r="E8" s="373"/>
      <c r="F8" s="373"/>
      <c r="G8" s="373"/>
      <c r="H8" s="373"/>
      <c r="I8" s="373"/>
      <c r="J8" s="373"/>
      <c r="K8" s="373"/>
      <c r="L8" s="373"/>
      <c r="M8" s="373"/>
      <c r="N8" s="374"/>
    </row>
    <row r="9" spans="1:14" ht="16.05" customHeight="1" x14ac:dyDescent="0.3">
      <c r="A9" s="106" t="s">
        <v>147</v>
      </c>
      <c r="B9" s="120">
        <f>Combinée!I22</f>
        <v>81</v>
      </c>
      <c r="C9" s="120">
        <f>Combinée!J22</f>
        <v>83</v>
      </c>
      <c r="D9" s="120">
        <f>Combinée!K22</f>
        <v>85</v>
      </c>
      <c r="E9" s="169">
        <f t="shared" ref="E9:E20" si="0">D9*($B$3*D9/C9+$B$4*C9/B9)*(1+I9*J9)</f>
        <v>87.063364569388668</v>
      </c>
      <c r="F9" s="170">
        <f t="shared" ref="F9:F20" si="1">E9-D9</f>
        <v>2.0633645693886677</v>
      </c>
      <c r="G9" s="171">
        <f t="shared" ref="G9:G20" si="2">ABS(E9-D9)/D9</f>
        <v>2.4274877286925504E-2</v>
      </c>
      <c r="H9" s="172" t="str">
        <f t="shared" ref="H9:H20" si="3">IF(SIGN(D9/C9-1)&lt;&gt;SIGN(C9/B9-1),"⚠ retournement",IF(ABS(D9/C9-C9/B9)&gt;$B$5,"⚡ accél.",""))</f>
        <v/>
      </c>
      <c r="I9" s="135">
        <f>Données!G6</f>
        <v>0</v>
      </c>
      <c r="J9" s="136">
        <f>Données!H6</f>
        <v>0</v>
      </c>
      <c r="K9" s="120">
        <f>Combinée!G22</f>
        <v>77</v>
      </c>
      <c r="L9" s="120">
        <f>Combinée!H22</f>
        <v>79</v>
      </c>
      <c r="M9" s="173">
        <f t="shared" ref="M9:M20" si="4">D9*($B$3*D9/C9+$B$4*(D9/K9)^(1/4))*(1+I9*J9)</f>
        <v>87.071727533523656</v>
      </c>
      <c r="N9" s="174">
        <f t="shared" ref="N9:N20" si="5">M9-E9</f>
        <v>8.3629641349887152E-3</v>
      </c>
    </row>
    <row r="10" spans="1:14" ht="16.05" customHeight="1" x14ac:dyDescent="0.3">
      <c r="A10" s="110" t="s">
        <v>148</v>
      </c>
      <c r="B10" s="137">
        <f>Combinée!I23</f>
        <v>83</v>
      </c>
      <c r="C10" s="137">
        <f>Combinée!J23</f>
        <v>85</v>
      </c>
      <c r="D10" s="137">
        <f>Combinée!K23</f>
        <v>87</v>
      </c>
      <c r="E10" s="169">
        <f t="shared" si="0"/>
        <v>97.968042523033333</v>
      </c>
      <c r="F10" s="175">
        <f t="shared" si="1"/>
        <v>10.968042523033333</v>
      </c>
      <c r="G10" s="176">
        <f t="shared" si="2"/>
        <v>0.12606945428773947</v>
      </c>
      <c r="H10" s="177" t="str">
        <f t="shared" si="3"/>
        <v/>
      </c>
      <c r="I10" s="144">
        <f>Données!G7</f>
        <v>1</v>
      </c>
      <c r="J10" s="145">
        <f>Données!H7</f>
        <v>0.1</v>
      </c>
      <c r="K10" s="137">
        <f>Combinée!G23</f>
        <v>79</v>
      </c>
      <c r="L10" s="137">
        <f>Combinée!H23</f>
        <v>81</v>
      </c>
      <c r="M10" s="173">
        <f t="shared" si="4"/>
        <v>97.976994320543682</v>
      </c>
      <c r="N10" s="178">
        <f t="shared" si="5"/>
        <v>8.9517975103490244E-3</v>
      </c>
    </row>
    <row r="11" spans="1:14" ht="16.05" customHeight="1" x14ac:dyDescent="0.3">
      <c r="A11" s="106" t="s">
        <v>149</v>
      </c>
      <c r="B11" s="120">
        <f>Combinée!I24</f>
        <v>86</v>
      </c>
      <c r="C11" s="120">
        <f>Combinée!J24</f>
        <v>88</v>
      </c>
      <c r="D11" s="120">
        <f>Combinée!K24</f>
        <v>90</v>
      </c>
      <c r="E11" s="169">
        <f t="shared" si="0"/>
        <v>101.26569767441862</v>
      </c>
      <c r="F11" s="170">
        <f t="shared" si="1"/>
        <v>11.265697674418618</v>
      </c>
      <c r="G11" s="171">
        <f t="shared" si="2"/>
        <v>0.12517441860465131</v>
      </c>
      <c r="H11" s="172" t="str">
        <f t="shared" si="3"/>
        <v/>
      </c>
      <c r="I11" s="135">
        <f>Données!G8</f>
        <v>1</v>
      </c>
      <c r="J11" s="136">
        <f>Données!H8</f>
        <v>0.1</v>
      </c>
      <c r="K11" s="120">
        <f>Combinée!G24</f>
        <v>82</v>
      </c>
      <c r="L11" s="120">
        <f>Combinée!H24</f>
        <v>84</v>
      </c>
      <c r="M11" s="173">
        <f t="shared" si="4"/>
        <v>101.27430212016522</v>
      </c>
      <c r="N11" s="174">
        <f t="shared" si="5"/>
        <v>8.6044457465987989E-3</v>
      </c>
    </row>
    <row r="12" spans="1:14" ht="16.05" customHeight="1" x14ac:dyDescent="0.3">
      <c r="A12" s="110" t="s">
        <v>150</v>
      </c>
      <c r="B12" s="137">
        <f>Combinée!I25</f>
        <v>84</v>
      </c>
      <c r="C12" s="137">
        <f>Combinée!J25</f>
        <v>86</v>
      </c>
      <c r="D12" s="137">
        <f>Combinée!K25</f>
        <v>88</v>
      </c>
      <c r="E12" s="169">
        <f t="shared" si="0"/>
        <v>90.061129568106324</v>
      </c>
      <c r="F12" s="175">
        <f t="shared" si="1"/>
        <v>2.061129568106324</v>
      </c>
      <c r="G12" s="176">
        <f t="shared" si="2"/>
        <v>2.3421926910299137E-2</v>
      </c>
      <c r="H12" s="177" t="str">
        <f t="shared" si="3"/>
        <v/>
      </c>
      <c r="I12" s="144">
        <f>Données!G9</f>
        <v>0</v>
      </c>
      <c r="J12" s="145">
        <f>Données!H9</f>
        <v>0</v>
      </c>
      <c r="K12" s="137">
        <f>Combinée!G25</f>
        <v>80</v>
      </c>
      <c r="L12" s="137">
        <f>Combinée!H25</f>
        <v>82</v>
      </c>
      <c r="M12" s="173">
        <f t="shared" si="4"/>
        <v>90.069159531364235</v>
      </c>
      <c r="N12" s="178">
        <f t="shared" si="5"/>
        <v>8.0299632579112767E-3</v>
      </c>
    </row>
    <row r="13" spans="1:14" ht="16.05" customHeight="1" x14ac:dyDescent="0.3">
      <c r="A13" s="106" t="s">
        <v>151</v>
      </c>
      <c r="B13" s="120">
        <f>Combinée!I26</f>
        <v>82</v>
      </c>
      <c r="C13" s="120">
        <f>Combinée!J26</f>
        <v>84</v>
      </c>
      <c r="D13" s="120">
        <f>Combinée!K26</f>
        <v>86</v>
      </c>
      <c r="E13" s="169">
        <f t="shared" si="0"/>
        <v>88.06260162601626</v>
      </c>
      <c r="F13" s="170">
        <f t="shared" si="1"/>
        <v>2.0626016260162601</v>
      </c>
      <c r="G13" s="171">
        <f t="shared" si="2"/>
        <v>2.3983739837398373E-2</v>
      </c>
      <c r="H13" s="172" t="str">
        <f t="shared" si="3"/>
        <v/>
      </c>
      <c r="I13" s="135">
        <f>Données!G10</f>
        <v>0</v>
      </c>
      <c r="J13" s="136">
        <f>Données!H10</f>
        <v>0</v>
      </c>
      <c r="K13" s="120">
        <f>Combinée!G26</f>
        <v>78</v>
      </c>
      <c r="L13" s="120">
        <f>Combinée!H26</f>
        <v>80</v>
      </c>
      <c r="M13" s="173">
        <f t="shared" si="4"/>
        <v>88.07085058412639</v>
      </c>
      <c r="N13" s="174">
        <f t="shared" si="5"/>
        <v>8.2489581101299336E-3</v>
      </c>
    </row>
    <row r="14" spans="1:14" ht="16.05" customHeight="1" x14ac:dyDescent="0.3">
      <c r="A14" s="110" t="s">
        <v>152</v>
      </c>
      <c r="B14" s="137">
        <f>Combinée!I27</f>
        <v>79</v>
      </c>
      <c r="C14" s="137">
        <f>Combinée!J27</f>
        <v>81</v>
      </c>
      <c r="D14" s="137">
        <f>Combinée!K27</f>
        <v>83</v>
      </c>
      <c r="E14" s="169">
        <f t="shared" si="0"/>
        <v>85.064947648070017</v>
      </c>
      <c r="F14" s="175">
        <f t="shared" si="1"/>
        <v>2.0649476480700173</v>
      </c>
      <c r="G14" s="176">
        <f t="shared" si="2"/>
        <v>2.4878887326144787E-2</v>
      </c>
      <c r="H14" s="177" t="str">
        <f t="shared" si="3"/>
        <v/>
      </c>
      <c r="I14" s="144">
        <f>Données!G11</f>
        <v>0</v>
      </c>
      <c r="J14" s="145">
        <f>Données!H11</f>
        <v>0</v>
      </c>
      <c r="K14" s="137">
        <f>Combinée!G27</f>
        <v>75</v>
      </c>
      <c r="L14" s="137">
        <f>Combinée!H27</f>
        <v>77</v>
      </c>
      <c r="M14" s="173">
        <f t="shared" si="4"/>
        <v>85.073548273644718</v>
      </c>
      <c r="N14" s="178">
        <f t="shared" si="5"/>
        <v>8.6006255747008709E-3</v>
      </c>
    </row>
    <row r="15" spans="1:14" ht="16.05" customHeight="1" x14ac:dyDescent="0.3">
      <c r="A15" s="106" t="s">
        <v>153</v>
      </c>
      <c r="B15" s="120">
        <f>Combinée!I28</f>
        <v>80</v>
      </c>
      <c r="C15" s="120">
        <f>Combinée!J28</f>
        <v>82</v>
      </c>
      <c r="D15" s="120">
        <f>Combinée!K28</f>
        <v>84</v>
      </c>
      <c r="E15" s="169">
        <f t="shared" si="0"/>
        <v>86.064146341463427</v>
      </c>
      <c r="F15" s="170">
        <f t="shared" si="1"/>
        <v>2.0641463414634273</v>
      </c>
      <c r="G15" s="171">
        <f t="shared" si="2"/>
        <v>2.4573170731707467E-2</v>
      </c>
      <c r="H15" s="172" t="str">
        <f t="shared" si="3"/>
        <v/>
      </c>
      <c r="I15" s="135">
        <f>Données!G12</f>
        <v>0</v>
      </c>
      <c r="J15" s="136">
        <f>Données!H12</f>
        <v>0</v>
      </c>
      <c r="K15" s="120">
        <f>Combinée!G28</f>
        <v>76</v>
      </c>
      <c r="L15" s="120">
        <f>Combinée!H28</f>
        <v>78</v>
      </c>
      <c r="M15" s="173">
        <f t="shared" si="4"/>
        <v>86.072626483621718</v>
      </c>
      <c r="N15" s="174">
        <f t="shared" si="5"/>
        <v>8.4801421582909597E-3</v>
      </c>
    </row>
    <row r="16" spans="1:14" ht="16.05" customHeight="1" x14ac:dyDescent="0.3">
      <c r="A16" s="110" t="s">
        <v>154</v>
      </c>
      <c r="B16" s="137">
        <f>Combinée!I29</f>
        <v>87</v>
      </c>
      <c r="C16" s="137">
        <f>Combinée!J29</f>
        <v>89</v>
      </c>
      <c r="D16" s="137">
        <f>Combinée!K29</f>
        <v>91</v>
      </c>
      <c r="E16" s="169">
        <f t="shared" si="0"/>
        <v>93.05904688105386</v>
      </c>
      <c r="F16" s="175">
        <f t="shared" si="1"/>
        <v>2.0590468810538596</v>
      </c>
      <c r="G16" s="176">
        <f t="shared" si="2"/>
        <v>2.2626888802789666E-2</v>
      </c>
      <c r="H16" s="177" t="str">
        <f t="shared" si="3"/>
        <v/>
      </c>
      <c r="I16" s="144">
        <f>Données!G13</f>
        <v>0</v>
      </c>
      <c r="J16" s="145">
        <f>Données!H13</f>
        <v>0</v>
      </c>
      <c r="K16" s="137">
        <f>Combinée!G29</f>
        <v>83</v>
      </c>
      <c r="L16" s="137">
        <f>Combinée!H29</f>
        <v>85</v>
      </c>
      <c r="M16" s="173">
        <f t="shared" si="4"/>
        <v>93.066769188879746</v>
      </c>
      <c r="N16" s="178">
        <f t="shared" si="5"/>
        <v>7.7223078258867872E-3</v>
      </c>
    </row>
    <row r="17" spans="1:14" ht="16.05" customHeight="1" x14ac:dyDescent="0.3">
      <c r="A17" s="106" t="s">
        <v>155</v>
      </c>
      <c r="B17" s="120">
        <f>Combinée!I30</f>
        <v>95</v>
      </c>
      <c r="C17" s="120">
        <f>Combinée!J30</f>
        <v>97</v>
      </c>
      <c r="D17" s="120">
        <f>Combinée!K30</f>
        <v>99</v>
      </c>
      <c r="E17" s="169">
        <f t="shared" si="0"/>
        <v>101.05412913727618</v>
      </c>
      <c r="F17" s="170">
        <f t="shared" si="1"/>
        <v>2.0541291372761776</v>
      </c>
      <c r="G17" s="171">
        <f t="shared" si="2"/>
        <v>2.0748779164405835E-2</v>
      </c>
      <c r="H17" s="172" t="str">
        <f t="shared" si="3"/>
        <v/>
      </c>
      <c r="I17" s="135">
        <f>Données!G14</f>
        <v>0</v>
      </c>
      <c r="J17" s="136">
        <f>Données!H14</f>
        <v>0</v>
      </c>
      <c r="K17" s="120">
        <f>Combinée!G30</f>
        <v>91</v>
      </c>
      <c r="L17" s="120">
        <f>Combinée!H30</f>
        <v>93</v>
      </c>
      <c r="M17" s="173">
        <f t="shared" si="4"/>
        <v>101.0611350519372</v>
      </c>
      <c r="N17" s="174">
        <f t="shared" si="5"/>
        <v>7.0059146610219614E-3</v>
      </c>
    </row>
    <row r="18" spans="1:14" ht="16.05" customHeight="1" x14ac:dyDescent="0.3">
      <c r="A18" s="110" t="s">
        <v>156</v>
      </c>
      <c r="B18" s="137">
        <f>Combinée!I31</f>
        <v>120</v>
      </c>
      <c r="C18" s="137">
        <f>Combinée!J31</f>
        <v>132.70000000000002</v>
      </c>
      <c r="D18" s="137">
        <f>Combinée!K31</f>
        <v>126</v>
      </c>
      <c r="E18" s="169">
        <f t="shared" si="0"/>
        <v>125.54729728711378</v>
      </c>
      <c r="F18" s="175">
        <f t="shared" si="1"/>
        <v>-0.45270271288622155</v>
      </c>
      <c r="G18" s="176">
        <f t="shared" si="2"/>
        <v>3.592878673700171E-3</v>
      </c>
      <c r="H18" s="177" t="str">
        <f t="shared" si="3"/>
        <v>⚠ retournement</v>
      </c>
      <c r="I18" s="144">
        <f>Données!G15</f>
        <v>0</v>
      </c>
      <c r="J18" s="145">
        <f>Données!H15</f>
        <v>0</v>
      </c>
      <c r="K18" s="137">
        <f>Combinée!G31</f>
        <v>116</v>
      </c>
      <c r="L18" s="137">
        <f>Combinée!H31</f>
        <v>118</v>
      </c>
      <c r="M18" s="173">
        <f t="shared" si="4"/>
        <v>122.3363672439891</v>
      </c>
      <c r="N18" s="178">
        <f t="shared" si="5"/>
        <v>-3.2109300431246766</v>
      </c>
    </row>
    <row r="19" spans="1:14" ht="16.05" customHeight="1" x14ac:dyDescent="0.3">
      <c r="A19" s="106" t="s">
        <v>157</v>
      </c>
      <c r="B19" s="120">
        <f>Combinée!I32</f>
        <v>100</v>
      </c>
      <c r="C19" s="120">
        <f>Combinée!J32</f>
        <v>102</v>
      </c>
      <c r="D19" s="120">
        <f>Combinée!K32</f>
        <v>104</v>
      </c>
      <c r="E19" s="169">
        <f t="shared" si="0"/>
        <v>106.05145098039218</v>
      </c>
      <c r="F19" s="170">
        <f t="shared" si="1"/>
        <v>2.0514509803921754</v>
      </c>
      <c r="G19" s="171">
        <f t="shared" si="2"/>
        <v>1.972549019607861E-2</v>
      </c>
      <c r="H19" s="172" t="str">
        <f t="shared" si="3"/>
        <v/>
      </c>
      <c r="I19" s="135">
        <f>Données!G16</f>
        <v>0</v>
      </c>
      <c r="J19" s="136">
        <f>Données!H16</f>
        <v>0</v>
      </c>
      <c r="K19" s="120">
        <f>Combinée!G32</f>
        <v>96</v>
      </c>
      <c r="L19" s="120">
        <f>Combinée!H32</f>
        <v>98</v>
      </c>
      <c r="M19" s="173">
        <f t="shared" si="4"/>
        <v>106.05807264036225</v>
      </c>
      <c r="N19" s="174">
        <f t="shared" si="5"/>
        <v>6.6216599700794632E-3</v>
      </c>
    </row>
    <row r="20" spans="1:14" ht="16.05" customHeight="1" x14ac:dyDescent="0.3">
      <c r="A20" s="110" t="s">
        <v>158</v>
      </c>
      <c r="B20" s="137">
        <f>Combinée!I33</f>
        <v>90</v>
      </c>
      <c r="C20" s="137">
        <f>Combinée!J33</f>
        <v>92</v>
      </c>
      <c r="D20" s="137">
        <f>Combinée!K33</f>
        <v>94</v>
      </c>
      <c r="E20" s="169">
        <f t="shared" si="0"/>
        <v>96.057101449275365</v>
      </c>
      <c r="F20" s="175">
        <f t="shared" si="1"/>
        <v>2.0571014492753648</v>
      </c>
      <c r="G20" s="176">
        <f t="shared" si="2"/>
        <v>2.1884057971014517E-2</v>
      </c>
      <c r="H20" s="177" t="str">
        <f t="shared" si="3"/>
        <v/>
      </c>
      <c r="I20" s="144">
        <f>Données!G17</f>
        <v>0</v>
      </c>
      <c r="J20" s="145">
        <f>Données!H17</f>
        <v>0</v>
      </c>
      <c r="K20" s="137">
        <f>Combinée!G33</f>
        <v>86</v>
      </c>
      <c r="L20" s="137">
        <f>Combinée!H33</f>
        <v>88</v>
      </c>
      <c r="M20" s="173">
        <f t="shared" si="4"/>
        <v>96.064538673384078</v>
      </c>
      <c r="N20" s="178">
        <f t="shared" si="5"/>
        <v>7.4372241087132807E-3</v>
      </c>
    </row>
    <row r="21" spans="1:14" ht="16.95" customHeight="1" x14ac:dyDescent="0.3">
      <c r="A21" s="179" t="s">
        <v>29</v>
      </c>
      <c r="B21" s="147">
        <f>SUM(B9:B20)</f>
        <v>1067</v>
      </c>
      <c r="C21" s="147">
        <f>SUM(C9:C20)</f>
        <v>1101.7</v>
      </c>
      <c r="D21" s="147">
        <f>SUM(D9:D20)</f>
        <v>1117</v>
      </c>
      <c r="E21" s="147">
        <f>SUM(E9:E20)</f>
        <v>1157.3189556856082</v>
      </c>
      <c r="K21" s="147">
        <f>SUM(K9:K20)</f>
        <v>1019</v>
      </c>
      <c r="L21" s="147">
        <f>SUM(L9:L20)</f>
        <v>1043</v>
      </c>
      <c r="M21" s="147">
        <f>SUM(M9:M20)</f>
        <v>1154.1960916455419</v>
      </c>
    </row>
    <row r="22" spans="1:14" ht="16.05" customHeight="1" x14ac:dyDescent="0.3">
      <c r="A22" s="49" t="s">
        <v>82</v>
      </c>
      <c r="B22" s="50">
        <f>SUMPRODUCT(ABS(C9:C20*(C9:C20/B9:B20)-D9:D20)/D9:D20)/12</f>
        <v>1.4199073398998924E-2</v>
      </c>
    </row>
    <row r="23" spans="1:14" ht="4.95" customHeight="1" x14ac:dyDescent="0.3">
      <c r="A23" s="48"/>
      <c r="B23" s="48"/>
      <c r="C23" s="48"/>
      <c r="D23" s="48"/>
      <c r="E23" s="48"/>
      <c r="F23" s="48"/>
      <c r="G23" s="48"/>
      <c r="H23" s="48"/>
      <c r="I23" s="48"/>
      <c r="J23" s="48"/>
      <c r="K23" s="48"/>
      <c r="L23" s="48"/>
      <c r="M23" s="48"/>
      <c r="N23" s="48"/>
    </row>
    <row r="24" spans="1:14" ht="16.05" customHeight="1" x14ac:dyDescent="0.3">
      <c r="A24" s="401" t="s">
        <v>271</v>
      </c>
      <c r="B24" s="373"/>
      <c r="C24" s="373"/>
      <c r="D24" s="373"/>
      <c r="E24" s="373"/>
      <c r="F24" s="373"/>
      <c r="G24" s="373"/>
      <c r="H24" s="373"/>
      <c r="I24" s="373"/>
      <c r="J24" s="373"/>
      <c r="K24" s="373"/>
      <c r="L24" s="373"/>
      <c r="M24" s="373"/>
      <c r="N24" s="374"/>
    </row>
    <row r="25" spans="1:14" ht="16.05" customHeight="1" x14ac:dyDescent="0.3">
      <c r="A25" s="106" t="s">
        <v>147</v>
      </c>
      <c r="B25" s="120">
        <f>Combinée!I39</f>
        <v>55</v>
      </c>
      <c r="C25" s="120">
        <f>Combinée!J39</f>
        <v>58</v>
      </c>
      <c r="D25" s="120">
        <f>Combinée!K39</f>
        <v>61</v>
      </c>
      <c r="E25" s="169">
        <f t="shared" ref="E25:E36" si="6">D25*($B$3*D25/C25+$B$4*C25/B25)*(1+I25*J25)</f>
        <v>64.206802507836997</v>
      </c>
      <c r="F25" s="170">
        <f t="shared" ref="F25:F36" si="7">E25-D25</f>
        <v>3.2068025078369971</v>
      </c>
      <c r="G25" s="171">
        <f t="shared" ref="G25:G36" si="8">ABS(E25-D25)/D25</f>
        <v>5.257053291536061E-2</v>
      </c>
      <c r="H25" s="172" t="str">
        <f t="shared" ref="H25:H36" si="9">IF(SIGN(D25/C25-1)&lt;&gt;SIGN(C25/B25-1),"⚠ retournement",IF(ABS(D25/C25-C25/B25)&gt;$B$5,"⚡ accél.",""))</f>
        <v/>
      </c>
      <c r="I25" s="135">
        <f>Données!G21</f>
        <v>0</v>
      </c>
      <c r="J25" s="136">
        <f>Données!H21</f>
        <v>0</v>
      </c>
      <c r="K25" s="120">
        <f>Combinée!G39</f>
        <v>49</v>
      </c>
      <c r="L25" s="120">
        <f>Combinée!H39</f>
        <v>52</v>
      </c>
      <c r="M25" s="173">
        <f t="shared" ref="M25:M36" si="10">D25*($B$3*D25/C25+$B$4*(D25/K25)^(1/4))*(1+I25*J25)</f>
        <v>64.238739726922148</v>
      </c>
      <c r="N25" s="174">
        <f t="shared" ref="N25:N36" si="11">M25-E25</f>
        <v>3.1937219085151014E-2</v>
      </c>
    </row>
    <row r="26" spans="1:14" ht="16.05" customHeight="1" x14ac:dyDescent="0.3">
      <c r="A26" s="110" t="s">
        <v>148</v>
      </c>
      <c r="B26" s="137">
        <f>Combinée!I40</f>
        <v>35</v>
      </c>
      <c r="C26" s="137">
        <f>Combinée!J40</f>
        <v>37</v>
      </c>
      <c r="D26" s="137">
        <f>Combinée!K40</f>
        <v>39</v>
      </c>
      <c r="E26" s="169">
        <f t="shared" si="6"/>
        <v>41.1442471042471</v>
      </c>
      <c r="F26" s="175">
        <f t="shared" si="7"/>
        <v>2.1442471042470999</v>
      </c>
      <c r="G26" s="176">
        <f t="shared" si="8"/>
        <v>5.4980694980694869E-2</v>
      </c>
      <c r="H26" s="177" t="str">
        <f t="shared" si="9"/>
        <v/>
      </c>
      <c r="I26" s="144">
        <f>Données!G22</f>
        <v>0</v>
      </c>
      <c r="J26" s="145">
        <f>Données!H22</f>
        <v>0</v>
      </c>
      <c r="K26" s="137">
        <f>Combinée!G40</f>
        <v>31</v>
      </c>
      <c r="L26" s="137">
        <f>Combinée!H40</f>
        <v>33</v>
      </c>
      <c r="M26" s="173">
        <f t="shared" si="10"/>
        <v>41.16682498292694</v>
      </c>
      <c r="N26" s="178">
        <f t="shared" si="11"/>
        <v>2.2577878679840069E-2</v>
      </c>
    </row>
    <row r="27" spans="1:14" ht="16.05" customHeight="1" x14ac:dyDescent="0.3">
      <c r="A27" s="106" t="s">
        <v>149</v>
      </c>
      <c r="B27" s="120">
        <f>Combinée!I41</f>
        <v>25</v>
      </c>
      <c r="C27" s="120">
        <f>Combinée!J41</f>
        <v>26</v>
      </c>
      <c r="D27" s="120">
        <f>Combinée!K41</f>
        <v>27</v>
      </c>
      <c r="E27" s="169">
        <f t="shared" si="6"/>
        <v>28.050923076923073</v>
      </c>
      <c r="F27" s="170">
        <f t="shared" si="7"/>
        <v>1.0509230769230733</v>
      </c>
      <c r="G27" s="171">
        <f t="shared" si="8"/>
        <v>3.892307692307679E-2</v>
      </c>
      <c r="H27" s="172" t="str">
        <f t="shared" si="9"/>
        <v/>
      </c>
      <c r="I27" s="135">
        <f>Données!G23</f>
        <v>0</v>
      </c>
      <c r="J27" s="136">
        <f>Données!H23</f>
        <v>0</v>
      </c>
      <c r="K27" s="120">
        <f>Combinée!G41</f>
        <v>23</v>
      </c>
      <c r="L27" s="120">
        <f>Combinée!H41</f>
        <v>24</v>
      </c>
      <c r="M27" s="173">
        <f t="shared" si="10"/>
        <v>28.058212562441639</v>
      </c>
      <c r="N27" s="174">
        <f t="shared" si="11"/>
        <v>7.2894855185658969E-3</v>
      </c>
    </row>
    <row r="28" spans="1:14" ht="16.05" customHeight="1" x14ac:dyDescent="0.3">
      <c r="A28" s="110" t="s">
        <v>150</v>
      </c>
      <c r="B28" s="137">
        <f>Combinée!I42</f>
        <v>23.8</v>
      </c>
      <c r="C28" s="137">
        <f>Combinée!J42</f>
        <v>26.7</v>
      </c>
      <c r="D28" s="137">
        <f>Combinée!K42</f>
        <v>29.599999999999998</v>
      </c>
      <c r="E28" s="169">
        <f t="shared" si="6"/>
        <v>32.932503698108455</v>
      </c>
      <c r="F28" s="175">
        <f t="shared" si="7"/>
        <v>3.3325036981084573</v>
      </c>
      <c r="G28" s="176">
        <f t="shared" si="8"/>
        <v>0.11258458439555599</v>
      </c>
      <c r="H28" s="177" t="str">
        <f t="shared" si="9"/>
        <v/>
      </c>
      <c r="I28" s="144">
        <f>Données!G24</f>
        <v>0</v>
      </c>
      <c r="J28" s="145">
        <f>Données!H24</f>
        <v>0</v>
      </c>
      <c r="K28" s="137">
        <f>Combinée!G42</f>
        <v>18</v>
      </c>
      <c r="L28" s="137">
        <f>Combinée!H42</f>
        <v>19</v>
      </c>
      <c r="M28" s="173">
        <f t="shared" si="10"/>
        <v>33.02631329187836</v>
      </c>
      <c r="N28" s="178">
        <f t="shared" si="11"/>
        <v>9.3809593769904609E-2</v>
      </c>
    </row>
    <row r="29" spans="1:14" ht="16.05" customHeight="1" x14ac:dyDescent="0.3">
      <c r="A29" s="106" t="s">
        <v>151</v>
      </c>
      <c r="B29" s="120">
        <f>Combinée!I43</f>
        <v>18</v>
      </c>
      <c r="C29" s="120">
        <f>Combinée!J43</f>
        <v>19</v>
      </c>
      <c r="D29" s="120">
        <f>Combinée!K43</f>
        <v>20</v>
      </c>
      <c r="E29" s="169">
        <f t="shared" si="6"/>
        <v>21.070175438596493</v>
      </c>
      <c r="F29" s="170">
        <f t="shared" si="7"/>
        <v>1.0701754385964932</v>
      </c>
      <c r="G29" s="171">
        <f t="shared" si="8"/>
        <v>5.3508771929824658E-2</v>
      </c>
      <c r="H29" s="172" t="str">
        <f t="shared" si="9"/>
        <v/>
      </c>
      <c r="I29" s="135">
        <f>Données!G25</f>
        <v>0</v>
      </c>
      <c r="J29" s="136">
        <f>Données!H25</f>
        <v>0</v>
      </c>
      <c r="K29" s="120">
        <f>Combinée!G43</f>
        <v>16</v>
      </c>
      <c r="L29" s="120">
        <f>Combinée!H43</f>
        <v>17</v>
      </c>
      <c r="M29" s="173">
        <f t="shared" si="10"/>
        <v>21.081069685906542</v>
      </c>
      <c r="N29" s="174">
        <f t="shared" si="11"/>
        <v>1.0894247310048399E-2</v>
      </c>
    </row>
    <row r="30" spans="1:14" ht="16.05" customHeight="1" x14ac:dyDescent="0.3">
      <c r="A30" s="110" t="s">
        <v>152</v>
      </c>
      <c r="B30" s="137">
        <f>Combinée!I44</f>
        <v>15</v>
      </c>
      <c r="C30" s="137">
        <f>Combinée!J44</f>
        <v>16</v>
      </c>
      <c r="D30" s="137">
        <f>Combinée!K44</f>
        <v>17</v>
      </c>
      <c r="E30" s="169">
        <f t="shared" si="6"/>
        <v>19.892125</v>
      </c>
      <c r="F30" s="175">
        <f t="shared" si="7"/>
        <v>2.8921250000000001</v>
      </c>
      <c r="G30" s="176">
        <f t="shared" si="8"/>
        <v>0.170125</v>
      </c>
      <c r="H30" s="177" t="str">
        <f t="shared" si="9"/>
        <v/>
      </c>
      <c r="I30" s="144">
        <f>Données!G26</f>
        <v>1</v>
      </c>
      <c r="J30" s="145">
        <f>Données!H26</f>
        <v>0.1</v>
      </c>
      <c r="K30" s="137">
        <f>Combinée!G44</f>
        <v>13</v>
      </c>
      <c r="L30" s="137">
        <f>Combinée!H44</f>
        <v>14</v>
      </c>
      <c r="M30" s="173">
        <f t="shared" si="10"/>
        <v>19.907268542863704</v>
      </c>
      <c r="N30" s="178">
        <f t="shared" si="11"/>
        <v>1.514354286370434E-2</v>
      </c>
    </row>
    <row r="31" spans="1:14" ht="16.05" customHeight="1" x14ac:dyDescent="0.3">
      <c r="A31" s="106" t="s">
        <v>153</v>
      </c>
      <c r="B31" s="120">
        <f>Combinée!I45</f>
        <v>15</v>
      </c>
      <c r="C31" s="120">
        <f>Combinée!J45</f>
        <v>16</v>
      </c>
      <c r="D31" s="120">
        <f>Combinée!K45</f>
        <v>17</v>
      </c>
      <c r="E31" s="169">
        <f t="shared" si="6"/>
        <v>18.083749999999998</v>
      </c>
      <c r="F31" s="170">
        <f t="shared" si="7"/>
        <v>1.0837499999999984</v>
      </c>
      <c r="G31" s="171">
        <f t="shared" si="8"/>
        <v>6.3749999999999904E-2</v>
      </c>
      <c r="H31" s="172" t="str">
        <f t="shared" si="9"/>
        <v/>
      </c>
      <c r="I31" s="135">
        <f>Données!G27</f>
        <v>0</v>
      </c>
      <c r="J31" s="136">
        <f>Données!H27</f>
        <v>0</v>
      </c>
      <c r="K31" s="120">
        <f>Combinée!G45</f>
        <v>13</v>
      </c>
      <c r="L31" s="120">
        <f>Combinée!H45</f>
        <v>14</v>
      </c>
      <c r="M31" s="173">
        <f t="shared" si="10"/>
        <v>18.097516857148822</v>
      </c>
      <c r="N31" s="174">
        <f t="shared" si="11"/>
        <v>1.3766857148823419E-2</v>
      </c>
    </row>
    <row r="32" spans="1:14" ht="16.05" customHeight="1" x14ac:dyDescent="0.3">
      <c r="A32" s="110" t="s">
        <v>154</v>
      </c>
      <c r="B32" s="137">
        <f>Combinée!I46</f>
        <v>20</v>
      </c>
      <c r="C32" s="137">
        <f>Combinée!J46</f>
        <v>21</v>
      </c>
      <c r="D32" s="137">
        <f>Combinée!K46</f>
        <v>22</v>
      </c>
      <c r="E32" s="169">
        <f t="shared" si="6"/>
        <v>23.063333333333333</v>
      </c>
      <c r="F32" s="175">
        <f t="shared" si="7"/>
        <v>1.0633333333333326</v>
      </c>
      <c r="G32" s="176">
        <f t="shared" si="8"/>
        <v>4.8333333333333298E-2</v>
      </c>
      <c r="H32" s="177" t="str">
        <f t="shared" si="9"/>
        <v/>
      </c>
      <c r="I32" s="144">
        <f>Données!G28</f>
        <v>0</v>
      </c>
      <c r="J32" s="145">
        <f>Données!H28</f>
        <v>0</v>
      </c>
      <c r="K32" s="137">
        <f>Combinée!G46</f>
        <v>18</v>
      </c>
      <c r="L32" s="137">
        <f>Combinée!H46</f>
        <v>19</v>
      </c>
      <c r="M32" s="173">
        <f t="shared" si="10"/>
        <v>23.072886053499118</v>
      </c>
      <c r="N32" s="178">
        <f t="shared" si="11"/>
        <v>9.5527201657858996E-3</v>
      </c>
    </row>
    <row r="33" spans="1:14" ht="16.05" customHeight="1" x14ac:dyDescent="0.3">
      <c r="A33" s="106" t="s">
        <v>155</v>
      </c>
      <c r="B33" s="120">
        <f>Combinée!I47</f>
        <v>45</v>
      </c>
      <c r="C33" s="120">
        <f>Combinée!J47</f>
        <v>47</v>
      </c>
      <c r="D33" s="120">
        <f>Combinée!K47</f>
        <v>50</v>
      </c>
      <c r="E33" s="169">
        <f t="shared" si="6"/>
        <v>52.900709219858157</v>
      </c>
      <c r="F33" s="170">
        <f t="shared" si="7"/>
        <v>2.9007092198581574</v>
      </c>
      <c r="G33" s="171">
        <f t="shared" si="8"/>
        <v>5.8014184397163146E-2</v>
      </c>
      <c r="H33" s="172" t="str">
        <f t="shared" si="9"/>
        <v/>
      </c>
      <c r="I33" s="135">
        <f>Données!G29</f>
        <v>0</v>
      </c>
      <c r="J33" s="136">
        <f>Données!H29</f>
        <v>0</v>
      </c>
      <c r="K33" s="120">
        <f>Combinée!G47</f>
        <v>41</v>
      </c>
      <c r="L33" s="120">
        <f>Combinée!H47</f>
        <v>43</v>
      </c>
      <c r="M33" s="173">
        <f t="shared" si="10"/>
        <v>52.997003368609526</v>
      </c>
      <c r="N33" s="174">
        <f t="shared" si="11"/>
        <v>9.629414875136888E-2</v>
      </c>
    </row>
    <row r="34" spans="1:14" ht="16.05" customHeight="1" x14ac:dyDescent="0.3">
      <c r="A34" s="110" t="s">
        <v>156</v>
      </c>
      <c r="B34" s="137">
        <f>Combinée!I48</f>
        <v>110</v>
      </c>
      <c r="C34" s="137">
        <f>Combinée!J48</f>
        <v>116</v>
      </c>
      <c r="D34" s="137">
        <f>Combinée!K48</f>
        <v>122</v>
      </c>
      <c r="E34" s="169">
        <f t="shared" si="6"/>
        <v>128.41360501567399</v>
      </c>
      <c r="F34" s="175">
        <f t="shared" si="7"/>
        <v>6.4136050156739941</v>
      </c>
      <c r="G34" s="176">
        <f t="shared" si="8"/>
        <v>5.257053291536061E-2</v>
      </c>
      <c r="H34" s="177" t="str">
        <f t="shared" si="9"/>
        <v/>
      </c>
      <c r="I34" s="144">
        <f>Données!G30</f>
        <v>0</v>
      </c>
      <c r="J34" s="145">
        <f>Données!H30</f>
        <v>0</v>
      </c>
      <c r="K34" s="137">
        <f>Combinée!G48</f>
        <v>99</v>
      </c>
      <c r="L34" s="137">
        <f>Combinée!H48</f>
        <v>104</v>
      </c>
      <c r="M34" s="173">
        <f t="shared" si="10"/>
        <v>128.37948059709726</v>
      </c>
      <c r="N34" s="178">
        <f t="shared" si="11"/>
        <v>-3.412441857673798E-2</v>
      </c>
    </row>
    <row r="35" spans="1:14" ht="16.05" customHeight="1" x14ac:dyDescent="0.3">
      <c r="A35" s="106" t="s">
        <v>157</v>
      </c>
      <c r="B35" s="120">
        <f>Combinée!I49</f>
        <v>220</v>
      </c>
      <c r="C35" s="120">
        <f>Combinée!J49</f>
        <v>231</v>
      </c>
      <c r="D35" s="120">
        <f>Combinée!K49</f>
        <v>243</v>
      </c>
      <c r="E35" s="169">
        <f t="shared" si="6"/>
        <v>306.57763636363632</v>
      </c>
      <c r="F35" s="170">
        <f t="shared" si="7"/>
        <v>63.577636363636316</v>
      </c>
      <c r="G35" s="171">
        <f t="shared" si="8"/>
        <v>0.26163636363636344</v>
      </c>
      <c r="H35" s="172" t="str">
        <f t="shared" si="9"/>
        <v/>
      </c>
      <c r="I35" s="135">
        <f>Données!G31</f>
        <v>1</v>
      </c>
      <c r="J35" s="136">
        <f>Données!H31</f>
        <v>0.2</v>
      </c>
      <c r="K35" s="120">
        <f>Combinée!G49</f>
        <v>198</v>
      </c>
      <c r="L35" s="120">
        <f>Combinée!H49</f>
        <v>209</v>
      </c>
      <c r="M35" s="173">
        <f t="shared" si="10"/>
        <v>306.799127735978</v>
      </c>
      <c r="N35" s="174">
        <f t="shared" si="11"/>
        <v>0.22149137234168847</v>
      </c>
    </row>
    <row r="36" spans="1:14" ht="16.05" customHeight="1" x14ac:dyDescent="0.3">
      <c r="A36" s="110" t="s">
        <v>158</v>
      </c>
      <c r="B36" s="137">
        <f>Combinée!I50</f>
        <v>280</v>
      </c>
      <c r="C36" s="137">
        <f>Combinée!J50</f>
        <v>294</v>
      </c>
      <c r="D36" s="137">
        <f>Combinée!K50</f>
        <v>309</v>
      </c>
      <c r="E36" s="169">
        <f t="shared" si="6"/>
        <v>324.67071428571427</v>
      </c>
      <c r="F36" s="175">
        <f t="shared" si="7"/>
        <v>15.670714285714268</v>
      </c>
      <c r="G36" s="176">
        <f t="shared" si="8"/>
        <v>5.0714285714285656E-2</v>
      </c>
      <c r="H36" s="177" t="str">
        <f t="shared" si="9"/>
        <v/>
      </c>
      <c r="I36" s="144">
        <f>Données!G32</f>
        <v>0</v>
      </c>
      <c r="J36" s="145">
        <f>Données!H32</f>
        <v>0</v>
      </c>
      <c r="K36" s="137">
        <f>Combinée!G50</f>
        <v>252</v>
      </c>
      <c r="L36" s="137">
        <f>Combinée!H50</f>
        <v>266</v>
      </c>
      <c r="M36" s="173">
        <f t="shared" si="10"/>
        <v>324.88390502793891</v>
      </c>
      <c r="N36" s="178">
        <f t="shared" si="11"/>
        <v>0.21319074222463996</v>
      </c>
    </row>
    <row r="37" spans="1:14" ht="16.95" customHeight="1" x14ac:dyDescent="0.3">
      <c r="A37" s="179" t="s">
        <v>29</v>
      </c>
      <c r="B37" s="147">
        <f>SUM(B25:B36)</f>
        <v>861.8</v>
      </c>
      <c r="C37" s="147">
        <f>SUM(C25:C36)</f>
        <v>907.7</v>
      </c>
      <c r="D37" s="147">
        <f>SUM(D25:D36)</f>
        <v>956.6</v>
      </c>
      <c r="E37" s="147">
        <f>SUM(E25:E36)</f>
        <v>1061.0065250439281</v>
      </c>
      <c r="K37" s="147">
        <f>SUM(K25:K36)</f>
        <v>771</v>
      </c>
      <c r="L37" s="147">
        <f>SUM(L25:L36)</f>
        <v>814</v>
      </c>
      <c r="M37" s="147">
        <f>SUM(M25:M36)</f>
        <v>1061.7083484332109</v>
      </c>
    </row>
    <row r="38" spans="1:14" ht="16.05" customHeight="1" x14ac:dyDescent="0.3">
      <c r="A38" s="49" t="s">
        <v>84</v>
      </c>
      <c r="B38" s="50">
        <f>SUMPRODUCT(ABS(C25:C36*(C25:C36/B25:B36)-D25:D36)/D25:D36)/12</f>
        <v>4.6377903763156576E-3</v>
      </c>
    </row>
    <row r="39" spans="1:14" ht="4.95" customHeight="1" x14ac:dyDescent="0.3">
      <c r="A39" s="48"/>
      <c r="B39" s="48"/>
      <c r="C39" s="48"/>
      <c r="D39" s="48"/>
      <c r="E39" s="48"/>
      <c r="F39" s="48"/>
      <c r="G39" s="48"/>
      <c r="H39" s="48"/>
      <c r="I39" s="48"/>
      <c r="J39" s="48"/>
      <c r="K39" s="48"/>
    </row>
    <row r="40" spans="1:14" ht="16.05" customHeight="1" x14ac:dyDescent="0.3">
      <c r="A40" s="404" t="s">
        <v>272</v>
      </c>
      <c r="B40" s="373"/>
      <c r="C40" s="373"/>
      <c r="D40" s="373"/>
      <c r="E40" s="373"/>
      <c r="F40" s="373"/>
      <c r="G40" s="373"/>
      <c r="H40" s="373"/>
      <c r="I40" s="373"/>
      <c r="J40" s="373"/>
      <c r="K40" s="374"/>
    </row>
    <row r="41" spans="1:14" ht="25.95" customHeight="1" x14ac:dyDescent="0.3">
      <c r="A41" s="413" t="s">
        <v>273</v>
      </c>
      <c r="B41" s="373"/>
      <c r="C41" s="373"/>
      <c r="D41" s="373"/>
      <c r="E41" s="373"/>
      <c r="F41" s="373"/>
      <c r="G41" s="373"/>
      <c r="H41" s="373"/>
      <c r="I41" s="373"/>
      <c r="J41" s="373"/>
      <c r="K41" s="374"/>
    </row>
    <row r="42" spans="1:14" ht="18" customHeight="1" x14ac:dyDescent="0.3">
      <c r="A42" s="165" t="s">
        <v>2</v>
      </c>
      <c r="B42" s="104" t="s">
        <v>143</v>
      </c>
      <c r="C42" s="104" t="s">
        <v>144</v>
      </c>
      <c r="D42" s="104" t="s">
        <v>3</v>
      </c>
      <c r="E42" s="104" t="s">
        <v>4</v>
      </c>
      <c r="F42" s="104" t="s">
        <v>5</v>
      </c>
      <c r="G42" s="105" t="s">
        <v>99</v>
      </c>
      <c r="H42" s="105" t="s">
        <v>100</v>
      </c>
      <c r="I42" s="166" t="s">
        <v>274</v>
      </c>
      <c r="J42" s="167" t="s">
        <v>275</v>
      </c>
      <c r="K42" s="168" t="s">
        <v>269</v>
      </c>
    </row>
    <row r="43" spans="1:14" ht="16.05" customHeight="1" x14ac:dyDescent="0.3">
      <c r="A43" s="106" t="s">
        <v>147</v>
      </c>
      <c r="B43" s="120">
        <f>Combinée!G56</f>
        <v>97</v>
      </c>
      <c r="C43" s="120">
        <f>Combinée!H56</f>
        <v>98</v>
      </c>
      <c r="D43" s="120">
        <f>Combinée!I56</f>
        <v>99</v>
      </c>
      <c r="E43" s="120">
        <f>Combinée!J56</f>
        <v>114</v>
      </c>
      <c r="F43" s="120">
        <f>Combinée!K56</f>
        <v>131</v>
      </c>
      <c r="G43" s="135">
        <f>Données!G36</f>
        <v>0</v>
      </c>
      <c r="H43" s="136">
        <f>Données!H36</f>
        <v>0</v>
      </c>
      <c r="I43" s="169">
        <f t="shared" ref="I43:I54" si="12">F43*($B$3*F43/E43+$B$4*E43/D43)*(1+G43*H43)</f>
        <v>150.62910685805423</v>
      </c>
      <c r="J43" s="173">
        <f t="shared" ref="J43:J54" si="13">F43*($B$3*F43/E43+$B$4*(F43/B43)^(1/4))*(1+G43*H43)</f>
        <v>147.74055933975052</v>
      </c>
      <c r="K43" s="174">
        <f t="shared" ref="K43:K54" si="14">J43-I43</f>
        <v>-2.8885475183037101</v>
      </c>
    </row>
    <row r="44" spans="1:14" ht="16.05" customHeight="1" x14ac:dyDescent="0.3">
      <c r="A44" s="110" t="s">
        <v>148</v>
      </c>
      <c r="B44" s="137">
        <f>Combinée!G57</f>
        <v>99</v>
      </c>
      <c r="C44" s="137">
        <f>Combinée!H57</f>
        <v>100</v>
      </c>
      <c r="D44" s="137">
        <f>Combinée!I57</f>
        <v>101</v>
      </c>
      <c r="E44" s="137">
        <f>Combinée!J57</f>
        <v>116</v>
      </c>
      <c r="F44" s="137">
        <f>Combinée!K57</f>
        <v>133</v>
      </c>
      <c r="G44" s="144">
        <f>Données!G37</f>
        <v>0</v>
      </c>
      <c r="H44" s="145">
        <f>Données!H37</f>
        <v>0</v>
      </c>
      <c r="I44" s="169">
        <f t="shared" si="12"/>
        <v>152.56970809149882</v>
      </c>
      <c r="J44" s="173">
        <f t="shared" si="13"/>
        <v>149.70027941599221</v>
      </c>
      <c r="K44" s="178">
        <f t="shared" si="14"/>
        <v>-2.8694286755066116</v>
      </c>
    </row>
    <row r="45" spans="1:14" ht="16.05" customHeight="1" x14ac:dyDescent="0.3">
      <c r="A45" s="106" t="s">
        <v>149</v>
      </c>
      <c r="B45" s="120">
        <f>Combinée!G58</f>
        <v>101</v>
      </c>
      <c r="C45" s="120">
        <f>Combinée!H58</f>
        <v>102</v>
      </c>
      <c r="D45" s="120">
        <f>Combinée!I58</f>
        <v>103</v>
      </c>
      <c r="E45" s="120">
        <f>Combinée!J58</f>
        <v>118</v>
      </c>
      <c r="F45" s="120">
        <f>Combinée!K58</f>
        <v>136</v>
      </c>
      <c r="G45" s="135">
        <f>Données!G38</f>
        <v>0</v>
      </c>
      <c r="H45" s="136">
        <f>Données!H38</f>
        <v>0</v>
      </c>
      <c r="I45" s="169">
        <f t="shared" si="12"/>
        <v>156.46378147112063</v>
      </c>
      <c r="J45" s="173">
        <f t="shared" si="13"/>
        <v>153.67260742768769</v>
      </c>
      <c r="K45" s="174">
        <f t="shared" si="14"/>
        <v>-2.7911740434329317</v>
      </c>
    </row>
    <row r="46" spans="1:14" ht="16.05" customHeight="1" x14ac:dyDescent="0.3">
      <c r="A46" s="110" t="s">
        <v>150</v>
      </c>
      <c r="B46" s="137">
        <f>Combinée!G59</f>
        <v>103</v>
      </c>
      <c r="C46" s="137">
        <f>Combinée!H59</f>
        <v>104</v>
      </c>
      <c r="D46" s="137">
        <f>Combinée!I59</f>
        <v>105</v>
      </c>
      <c r="E46" s="137">
        <f>Combinée!J59</f>
        <v>121</v>
      </c>
      <c r="F46" s="137">
        <f>Combinée!K59</f>
        <v>139</v>
      </c>
      <c r="G46" s="144">
        <f>Données!G39</f>
        <v>0</v>
      </c>
      <c r="H46" s="145">
        <f>Données!H39</f>
        <v>0</v>
      </c>
      <c r="I46" s="169">
        <f t="shared" si="12"/>
        <v>159.82866587957497</v>
      </c>
      <c r="J46" s="173">
        <f t="shared" si="13"/>
        <v>156.71928330912795</v>
      </c>
      <c r="K46" s="178">
        <f t="shared" si="14"/>
        <v>-3.1093825704470248</v>
      </c>
    </row>
    <row r="47" spans="1:14" ht="16.05" customHeight="1" x14ac:dyDescent="0.3">
      <c r="A47" s="106" t="s">
        <v>151</v>
      </c>
      <c r="B47" s="120">
        <f>Combinée!G60</f>
        <v>100</v>
      </c>
      <c r="C47" s="120">
        <f>Combinée!H60</f>
        <v>101</v>
      </c>
      <c r="D47" s="120">
        <f>Combinée!I60</f>
        <v>102</v>
      </c>
      <c r="E47" s="120">
        <f>Combinée!J60</f>
        <v>117</v>
      </c>
      <c r="F47" s="120">
        <f>Combinée!K60</f>
        <v>135</v>
      </c>
      <c r="G47" s="135">
        <f>Données!G40</f>
        <v>0</v>
      </c>
      <c r="H47" s="136">
        <f>Données!H40</f>
        <v>0</v>
      </c>
      <c r="I47" s="169">
        <f t="shared" si="12"/>
        <v>155.49434389140274</v>
      </c>
      <c r="J47" s="173">
        <f t="shared" si="13"/>
        <v>152.69391114197629</v>
      </c>
      <c r="K47" s="174">
        <f t="shared" si="14"/>
        <v>-2.8004327494264487</v>
      </c>
    </row>
    <row r="48" spans="1:14" ht="16.05" customHeight="1" x14ac:dyDescent="0.3">
      <c r="A48" s="110" t="s">
        <v>152</v>
      </c>
      <c r="B48" s="137">
        <f>Combinée!G61</f>
        <v>98</v>
      </c>
      <c r="C48" s="137">
        <f>Combinée!H61</f>
        <v>99</v>
      </c>
      <c r="D48" s="137">
        <f>Combinée!I61</f>
        <v>100</v>
      </c>
      <c r="E48" s="137">
        <f>Combinée!J61</f>
        <v>115</v>
      </c>
      <c r="F48" s="137">
        <f>Combinée!K61</f>
        <v>132</v>
      </c>
      <c r="G48" s="144">
        <f>Données!G41</f>
        <v>0</v>
      </c>
      <c r="H48" s="145">
        <f>Données!H41</f>
        <v>0</v>
      </c>
      <c r="I48" s="169">
        <f t="shared" si="12"/>
        <v>151.59913043478264</v>
      </c>
      <c r="J48" s="173">
        <f t="shared" si="13"/>
        <v>148.72024030014882</v>
      </c>
      <c r="K48" s="178">
        <f t="shared" si="14"/>
        <v>-2.8788901346338207</v>
      </c>
    </row>
    <row r="49" spans="1:11" ht="16.05" customHeight="1" x14ac:dyDescent="0.3">
      <c r="A49" s="106" t="s">
        <v>153</v>
      </c>
      <c r="B49" s="120">
        <f>Combinée!G62</f>
        <v>102</v>
      </c>
      <c r="C49" s="120">
        <f>Combinée!H62</f>
        <v>103</v>
      </c>
      <c r="D49" s="120">
        <f>Combinée!I62</f>
        <v>104</v>
      </c>
      <c r="E49" s="120">
        <f>Combinée!J62</f>
        <v>120</v>
      </c>
      <c r="F49" s="120">
        <f>Combinée!K62</f>
        <v>138</v>
      </c>
      <c r="G49" s="135">
        <f>Données!G42</f>
        <v>0</v>
      </c>
      <c r="H49" s="136">
        <f>Données!H42</f>
        <v>0</v>
      </c>
      <c r="I49" s="169">
        <f t="shared" si="12"/>
        <v>158.85923076923078</v>
      </c>
      <c r="J49" s="173">
        <f t="shared" si="13"/>
        <v>155.73985673967761</v>
      </c>
      <c r="K49" s="174">
        <f t="shared" si="14"/>
        <v>-3.1193740295531711</v>
      </c>
    </row>
    <row r="50" spans="1:11" ht="16.05" customHeight="1" x14ac:dyDescent="0.3">
      <c r="A50" s="110" t="s">
        <v>154</v>
      </c>
      <c r="B50" s="137">
        <f>Combinée!G63</f>
        <v>104</v>
      </c>
      <c r="C50" s="137">
        <f>Combinée!H63</f>
        <v>105</v>
      </c>
      <c r="D50" s="137">
        <f>Combinée!I63</f>
        <v>106</v>
      </c>
      <c r="E50" s="137">
        <f>Combinée!J63</f>
        <v>122</v>
      </c>
      <c r="F50" s="137">
        <f>Combinée!K63</f>
        <v>140</v>
      </c>
      <c r="G50" s="144">
        <f>Données!G43</f>
        <v>0</v>
      </c>
      <c r="H50" s="145">
        <f>Données!H43</f>
        <v>0</v>
      </c>
      <c r="I50" s="169">
        <f t="shared" si="12"/>
        <v>160.79863903495206</v>
      </c>
      <c r="J50" s="173">
        <f t="shared" si="13"/>
        <v>157.69905475256488</v>
      </c>
      <c r="K50" s="178">
        <f t="shared" si="14"/>
        <v>-3.099584282387184</v>
      </c>
    </row>
    <row r="51" spans="1:11" ht="16.05" customHeight="1" x14ac:dyDescent="0.3">
      <c r="A51" s="106" t="s">
        <v>155</v>
      </c>
      <c r="B51" s="120">
        <f>Combinée!G64</f>
        <v>99</v>
      </c>
      <c r="C51" s="120">
        <f>Combinée!H64</f>
        <v>100</v>
      </c>
      <c r="D51" s="120">
        <f>Combinée!I64</f>
        <v>101</v>
      </c>
      <c r="E51" s="120">
        <f>Combinée!J64</f>
        <v>116</v>
      </c>
      <c r="F51" s="120">
        <f>Combinée!K64</f>
        <v>133</v>
      </c>
      <c r="G51" s="135">
        <f>Données!G44</f>
        <v>0</v>
      </c>
      <c r="H51" s="136">
        <f>Données!H44</f>
        <v>0</v>
      </c>
      <c r="I51" s="169">
        <f t="shared" si="12"/>
        <v>152.56970809149882</v>
      </c>
      <c r="J51" s="173">
        <f t="shared" si="13"/>
        <v>149.70027941599221</v>
      </c>
      <c r="K51" s="174">
        <f t="shared" si="14"/>
        <v>-2.8694286755066116</v>
      </c>
    </row>
    <row r="52" spans="1:11" ht="16.05" customHeight="1" x14ac:dyDescent="0.3">
      <c r="A52" s="110" t="s">
        <v>156</v>
      </c>
      <c r="B52" s="137">
        <f>Combinée!G65</f>
        <v>101</v>
      </c>
      <c r="C52" s="137">
        <f>Combinée!H65</f>
        <v>102</v>
      </c>
      <c r="D52" s="137">
        <f>Combinée!I65</f>
        <v>103</v>
      </c>
      <c r="E52" s="137">
        <f>Combinée!J65</f>
        <v>118</v>
      </c>
      <c r="F52" s="137">
        <f>Combinée!K65</f>
        <v>136</v>
      </c>
      <c r="G52" s="144">
        <f>Données!G45</f>
        <v>0</v>
      </c>
      <c r="H52" s="145">
        <f>Données!H45</f>
        <v>0</v>
      </c>
      <c r="I52" s="169">
        <f t="shared" si="12"/>
        <v>156.46378147112063</v>
      </c>
      <c r="J52" s="173">
        <f t="shared" si="13"/>
        <v>153.67260742768769</v>
      </c>
      <c r="K52" s="178">
        <f t="shared" si="14"/>
        <v>-2.7911740434329317</v>
      </c>
    </row>
    <row r="53" spans="1:11" ht="16.05" customHeight="1" x14ac:dyDescent="0.3">
      <c r="A53" s="106" t="s">
        <v>157</v>
      </c>
      <c r="B53" s="120">
        <f>Combinée!G66</f>
        <v>98</v>
      </c>
      <c r="C53" s="120">
        <f>Combinée!H66</f>
        <v>99</v>
      </c>
      <c r="D53" s="120">
        <f>Combinée!I66</f>
        <v>100</v>
      </c>
      <c r="E53" s="120">
        <f>Combinée!J66</f>
        <v>115</v>
      </c>
      <c r="F53" s="120">
        <f>Combinée!K66</f>
        <v>132</v>
      </c>
      <c r="G53" s="135">
        <f>Données!G46</f>
        <v>0</v>
      </c>
      <c r="H53" s="136">
        <f>Données!H46</f>
        <v>0</v>
      </c>
      <c r="I53" s="169">
        <f t="shared" si="12"/>
        <v>151.59913043478264</v>
      </c>
      <c r="J53" s="173">
        <f t="shared" si="13"/>
        <v>148.72024030014882</v>
      </c>
      <c r="K53" s="174">
        <f t="shared" si="14"/>
        <v>-2.8788901346338207</v>
      </c>
    </row>
    <row r="54" spans="1:11" ht="16.05" customHeight="1" x14ac:dyDescent="0.3">
      <c r="A54" s="110" t="s">
        <v>158</v>
      </c>
      <c r="B54" s="137">
        <f>Combinée!G67</f>
        <v>100</v>
      </c>
      <c r="C54" s="137">
        <f>Combinée!H67</f>
        <v>101</v>
      </c>
      <c r="D54" s="137">
        <f>Combinée!I67</f>
        <v>102</v>
      </c>
      <c r="E54" s="137">
        <f>Combinée!J67</f>
        <v>117</v>
      </c>
      <c r="F54" s="137">
        <f>Combinée!K67</f>
        <v>135</v>
      </c>
      <c r="G54" s="144">
        <f>Données!G47</f>
        <v>0</v>
      </c>
      <c r="H54" s="145">
        <f>Données!H47</f>
        <v>0</v>
      </c>
      <c r="I54" s="169">
        <f t="shared" si="12"/>
        <v>155.49434389140274</v>
      </c>
      <c r="J54" s="173">
        <f t="shared" si="13"/>
        <v>152.69391114197629</v>
      </c>
      <c r="K54" s="178">
        <f t="shared" si="14"/>
        <v>-2.8004327494264487</v>
      </c>
    </row>
    <row r="55" spans="1:11" ht="16.95" customHeight="1" x14ac:dyDescent="0.3">
      <c r="A55" s="179" t="s">
        <v>29</v>
      </c>
      <c r="B55" s="147">
        <f>SUM(B43:B54)</f>
        <v>1202</v>
      </c>
      <c r="C55" s="147">
        <f>SUM(C43:C54)</f>
        <v>1214</v>
      </c>
      <c r="D55" s="147">
        <f>SUM(D43:D54)</f>
        <v>1226</v>
      </c>
      <c r="E55" s="147">
        <f>SUM(E43:E54)</f>
        <v>1409</v>
      </c>
      <c r="F55" s="147">
        <f>SUM(F43:F54)</f>
        <v>1620</v>
      </c>
      <c r="I55" s="147">
        <f>SUM(I43:I54)</f>
        <v>1862.3695703194217</v>
      </c>
      <c r="J55" s="147">
        <f>SUM(J43:J54)</f>
        <v>1827.4728307127309</v>
      </c>
    </row>
    <row r="56" spans="1:11" ht="16.05" customHeight="1" x14ac:dyDescent="0.3">
      <c r="A56" s="49" t="s">
        <v>276</v>
      </c>
      <c r="B56" s="50">
        <f>SUMPRODUCT(ABS(E43:E54*(E43:E54/D43:D54)-F43:F54)/F43:F54)/12</f>
        <v>3.5427689240948167E-3</v>
      </c>
    </row>
    <row r="57" spans="1:11" ht="4.95" customHeight="1" x14ac:dyDescent="0.3">
      <c r="A57" s="48"/>
      <c r="B57" s="48"/>
      <c r="C57" s="48"/>
      <c r="D57" s="48"/>
      <c r="E57" s="48"/>
      <c r="F57" s="48"/>
      <c r="G57" s="48"/>
      <c r="H57" s="48"/>
      <c r="I57" s="48"/>
      <c r="J57" s="48"/>
      <c r="K57" s="48"/>
    </row>
    <row r="58" spans="1:11" ht="16.05" customHeight="1" x14ac:dyDescent="0.3">
      <c r="A58" s="402" t="s">
        <v>277</v>
      </c>
      <c r="B58" s="373"/>
      <c r="C58" s="373"/>
      <c r="D58" s="373"/>
      <c r="E58" s="373"/>
      <c r="F58" s="373"/>
      <c r="G58" s="373"/>
      <c r="H58" s="373"/>
      <c r="I58" s="373"/>
      <c r="J58" s="373"/>
      <c r="K58" s="374"/>
    </row>
    <row r="59" spans="1:11" ht="25.95" customHeight="1" x14ac:dyDescent="0.3">
      <c r="A59" s="412" t="s">
        <v>278</v>
      </c>
      <c r="B59" s="373"/>
      <c r="C59" s="373"/>
      <c r="D59" s="373"/>
      <c r="E59" s="373"/>
      <c r="F59" s="373"/>
      <c r="G59" s="373"/>
      <c r="H59" s="373"/>
      <c r="I59" s="373"/>
      <c r="J59" s="373"/>
      <c r="K59" s="374"/>
    </row>
    <row r="60" spans="1:11" ht="18" customHeight="1" x14ac:dyDescent="0.3">
      <c r="A60" s="165" t="s">
        <v>2</v>
      </c>
      <c r="B60" s="104" t="s">
        <v>143</v>
      </c>
      <c r="C60" s="104" t="s">
        <v>144</v>
      </c>
      <c r="D60" s="104" t="s">
        <v>3</v>
      </c>
      <c r="E60" s="104" t="s">
        <v>4</v>
      </c>
      <c r="F60" s="104" t="s">
        <v>5</v>
      </c>
      <c r="G60" s="105" t="s">
        <v>99</v>
      </c>
      <c r="H60" s="105" t="s">
        <v>100</v>
      </c>
      <c r="I60" s="166" t="s">
        <v>274</v>
      </c>
      <c r="J60" s="180" t="s">
        <v>275</v>
      </c>
      <c r="K60" s="168" t="s">
        <v>269</v>
      </c>
    </row>
    <row r="61" spans="1:11" ht="16.05" customHeight="1" x14ac:dyDescent="0.3">
      <c r="A61" s="106" t="s">
        <v>147</v>
      </c>
      <c r="B61" s="120">
        <f>Combinée!G73</f>
        <v>97</v>
      </c>
      <c r="C61" s="120">
        <f>Combinée!H73</f>
        <v>102</v>
      </c>
      <c r="D61" s="120">
        <f>Combinée!I73</f>
        <v>107</v>
      </c>
      <c r="E61" s="120">
        <f>Combinée!J73</f>
        <v>112</v>
      </c>
      <c r="F61" s="120">
        <f>Combinée!K73</f>
        <v>118</v>
      </c>
      <c r="G61" s="135">
        <f>Données!G51</f>
        <v>0</v>
      </c>
      <c r="H61" s="136">
        <f>Données!H51</f>
        <v>0</v>
      </c>
      <c r="I61" s="169">
        <f t="shared" ref="I61:I72" si="15">F61*($B$3*F61/E61+$B$4*E61/D61)*(1+G61*H61)</f>
        <v>124.07920560747664</v>
      </c>
      <c r="J61" s="181">
        <f t="shared" ref="J61:J72" si="16">F61*($B$3*F61/E61+$B$4*(F61/B61)^(1/4))*(1+G61*H61)</f>
        <v>124.2025554707153</v>
      </c>
      <c r="K61" s="174">
        <f t="shared" ref="K61:K72" si="17">J61-I61</f>
        <v>0.12334986323865849</v>
      </c>
    </row>
    <row r="62" spans="1:11" ht="16.05" customHeight="1" x14ac:dyDescent="0.3">
      <c r="A62" s="110" t="s">
        <v>148</v>
      </c>
      <c r="B62" s="137">
        <f>Combinée!G74</f>
        <v>99</v>
      </c>
      <c r="C62" s="137">
        <f>Combinée!H74</f>
        <v>104</v>
      </c>
      <c r="D62" s="137">
        <f>Combinée!I74</f>
        <v>109</v>
      </c>
      <c r="E62" s="137">
        <f>Combinée!J74</f>
        <v>114</v>
      </c>
      <c r="F62" s="137">
        <f>Combinée!K74</f>
        <v>120</v>
      </c>
      <c r="G62" s="144">
        <f>Données!G52</f>
        <v>0</v>
      </c>
      <c r="H62" s="145">
        <f>Données!H52</f>
        <v>0</v>
      </c>
      <c r="I62" s="169">
        <f t="shared" si="15"/>
        <v>126.07242877836794</v>
      </c>
      <c r="J62" s="181">
        <f t="shared" si="16"/>
        <v>126.19470799618144</v>
      </c>
      <c r="K62" s="178">
        <f t="shared" si="17"/>
        <v>0.12227921781349949</v>
      </c>
    </row>
    <row r="63" spans="1:11" ht="16.05" customHeight="1" x14ac:dyDescent="0.3">
      <c r="A63" s="106" t="s">
        <v>149</v>
      </c>
      <c r="B63" s="120">
        <f>Combinée!G75</f>
        <v>101</v>
      </c>
      <c r="C63" s="120">
        <f>Combinée!H75</f>
        <v>106</v>
      </c>
      <c r="D63" s="120">
        <f>Combinée!I75</f>
        <v>111</v>
      </c>
      <c r="E63" s="120">
        <f>Combinée!J75</f>
        <v>117</v>
      </c>
      <c r="F63" s="120">
        <f>Combinée!K75</f>
        <v>123</v>
      </c>
      <c r="G63" s="135">
        <f>Données!G53</f>
        <v>0</v>
      </c>
      <c r="H63" s="136">
        <f>Données!H53</f>
        <v>0</v>
      </c>
      <c r="I63" s="169">
        <f t="shared" si="15"/>
        <v>129.40997920997924</v>
      </c>
      <c r="J63" s="181">
        <f t="shared" si="16"/>
        <v>129.27882369688021</v>
      </c>
      <c r="K63" s="174">
        <f t="shared" si="17"/>
        <v>-0.1311555130990314</v>
      </c>
    </row>
    <row r="64" spans="1:11" ht="16.05" customHeight="1" x14ac:dyDescent="0.3">
      <c r="A64" s="110" t="s">
        <v>150</v>
      </c>
      <c r="B64" s="137">
        <f>Combinée!G76</f>
        <v>103</v>
      </c>
      <c r="C64" s="137">
        <f>Combinée!H76</f>
        <v>108</v>
      </c>
      <c r="D64" s="137">
        <f>Combinée!I76</f>
        <v>113</v>
      </c>
      <c r="E64" s="137">
        <f>Combinée!J76</f>
        <v>119</v>
      </c>
      <c r="F64" s="137">
        <f>Combinée!K76</f>
        <v>125</v>
      </c>
      <c r="G64" s="144">
        <f>Données!G54</f>
        <v>0</v>
      </c>
      <c r="H64" s="145">
        <f>Données!H54</f>
        <v>0</v>
      </c>
      <c r="I64" s="169">
        <f t="shared" si="15"/>
        <v>131.40291514836022</v>
      </c>
      <c r="J64" s="181">
        <f t="shared" si="16"/>
        <v>131.27125492084417</v>
      </c>
      <c r="K64" s="178">
        <f t="shared" si="17"/>
        <v>-0.13166022751605055</v>
      </c>
    </row>
    <row r="65" spans="1:11" ht="16.05" customHeight="1" x14ac:dyDescent="0.3">
      <c r="A65" s="106" t="s">
        <v>151</v>
      </c>
      <c r="B65" s="120">
        <f>Combinée!G77</f>
        <v>100</v>
      </c>
      <c r="C65" s="120">
        <f>Combinée!H77</f>
        <v>105</v>
      </c>
      <c r="D65" s="120">
        <f>Combinée!I77</f>
        <v>110</v>
      </c>
      <c r="E65" s="120">
        <f>Combinée!J77</f>
        <v>116</v>
      </c>
      <c r="F65" s="120">
        <f>Combinée!K77</f>
        <v>122</v>
      </c>
      <c r="G65" s="135">
        <f>Données!G55</f>
        <v>0</v>
      </c>
      <c r="H65" s="136">
        <f>Données!H55</f>
        <v>0</v>
      </c>
      <c r="I65" s="169">
        <f t="shared" si="15"/>
        <v>128.41360501567399</v>
      </c>
      <c r="J65" s="181">
        <f t="shared" si="16"/>
        <v>128.28271135457956</v>
      </c>
      <c r="K65" s="174">
        <f t="shared" si="17"/>
        <v>-0.1308936610944329</v>
      </c>
    </row>
    <row r="66" spans="1:11" ht="16.05" customHeight="1" x14ac:dyDescent="0.3">
      <c r="A66" s="110" t="s">
        <v>152</v>
      </c>
      <c r="B66" s="137">
        <f>Combinée!G78</f>
        <v>98</v>
      </c>
      <c r="C66" s="137">
        <f>Combinée!H78</f>
        <v>103</v>
      </c>
      <c r="D66" s="137">
        <f>Combinée!I78</f>
        <v>108</v>
      </c>
      <c r="E66" s="137">
        <f>Combinée!J78</f>
        <v>113</v>
      </c>
      <c r="F66" s="137">
        <f>Combinée!K78</f>
        <v>119</v>
      </c>
      <c r="G66" s="144">
        <f>Données!G56</f>
        <v>0</v>
      </c>
      <c r="H66" s="145">
        <f>Données!H56</f>
        <v>0</v>
      </c>
      <c r="I66" s="169">
        <f t="shared" si="15"/>
        <v>125.07578662733529</v>
      </c>
      <c r="J66" s="181">
        <f t="shared" si="16"/>
        <v>125.19859527820459</v>
      </c>
      <c r="K66" s="178">
        <f t="shared" si="17"/>
        <v>0.12280865086930248</v>
      </c>
    </row>
    <row r="67" spans="1:11" ht="16.05" customHeight="1" x14ac:dyDescent="0.3">
      <c r="A67" s="106" t="s">
        <v>153</v>
      </c>
      <c r="B67" s="120">
        <f>Combinée!G79</f>
        <v>102</v>
      </c>
      <c r="C67" s="120">
        <f>Combinée!H79</f>
        <v>107</v>
      </c>
      <c r="D67" s="120">
        <f>Combinée!I79</f>
        <v>112</v>
      </c>
      <c r="E67" s="120">
        <f>Combinée!J79</f>
        <v>118</v>
      </c>
      <c r="F67" s="120">
        <f>Combinée!K79</f>
        <v>124</v>
      </c>
      <c r="G67" s="135">
        <f>Données!G57</f>
        <v>0</v>
      </c>
      <c r="H67" s="136">
        <f>Données!H57</f>
        <v>0</v>
      </c>
      <c r="I67" s="169">
        <f t="shared" si="15"/>
        <v>130.40641646489104</v>
      </c>
      <c r="J67" s="181">
        <f t="shared" si="16"/>
        <v>130.27500550275963</v>
      </c>
      <c r="K67" s="174">
        <f t="shared" si="17"/>
        <v>-0.13141096213141168</v>
      </c>
    </row>
    <row r="68" spans="1:11" ht="16.05" customHeight="1" x14ac:dyDescent="0.3">
      <c r="A68" s="110" t="s">
        <v>154</v>
      </c>
      <c r="B68" s="137">
        <f>Combinée!G80</f>
        <v>104</v>
      </c>
      <c r="C68" s="137">
        <f>Combinée!H80</f>
        <v>109</v>
      </c>
      <c r="D68" s="137">
        <f>Combinée!I80</f>
        <v>114</v>
      </c>
      <c r="E68" s="137">
        <f>Combinée!J80</f>
        <v>120</v>
      </c>
      <c r="F68" s="137">
        <f>Combinée!K80</f>
        <v>126</v>
      </c>
      <c r="G68" s="144">
        <f>Données!G58</f>
        <v>0</v>
      </c>
      <c r="H68" s="145">
        <f>Données!H58</f>
        <v>0</v>
      </c>
      <c r="I68" s="169">
        <f t="shared" si="15"/>
        <v>132.39947368421053</v>
      </c>
      <c r="J68" s="181">
        <f t="shared" si="16"/>
        <v>132.26757016518826</v>
      </c>
      <c r="K68" s="178">
        <f t="shared" si="17"/>
        <v>-0.13190351902227349</v>
      </c>
    </row>
    <row r="69" spans="1:11" ht="16.05" customHeight="1" x14ac:dyDescent="0.3">
      <c r="A69" s="106" t="s">
        <v>155</v>
      </c>
      <c r="B69" s="120">
        <f>Combinée!G81</f>
        <v>99</v>
      </c>
      <c r="C69" s="120">
        <f>Combinée!H81</f>
        <v>104</v>
      </c>
      <c r="D69" s="120">
        <f>Combinée!I81</f>
        <v>109</v>
      </c>
      <c r="E69" s="120">
        <f>Combinée!J81</f>
        <v>114</v>
      </c>
      <c r="F69" s="120">
        <f>Combinée!K81</f>
        <v>120</v>
      </c>
      <c r="G69" s="135">
        <f>Données!G59</f>
        <v>0</v>
      </c>
      <c r="H69" s="136">
        <f>Données!H59</f>
        <v>0</v>
      </c>
      <c r="I69" s="169">
        <f t="shared" si="15"/>
        <v>126.07242877836794</v>
      </c>
      <c r="J69" s="181">
        <f t="shared" si="16"/>
        <v>126.19470799618144</v>
      </c>
      <c r="K69" s="174">
        <f t="shared" si="17"/>
        <v>0.12227921781349949</v>
      </c>
    </row>
    <row r="70" spans="1:11" ht="16.05" customHeight="1" x14ac:dyDescent="0.3">
      <c r="A70" s="110" t="s">
        <v>156</v>
      </c>
      <c r="B70" s="137">
        <f>Combinée!G82</f>
        <v>101</v>
      </c>
      <c r="C70" s="137">
        <f>Combinée!H82</f>
        <v>106</v>
      </c>
      <c r="D70" s="137">
        <f>Combinée!I82</f>
        <v>111</v>
      </c>
      <c r="E70" s="137">
        <f>Combinée!J82</f>
        <v>117</v>
      </c>
      <c r="F70" s="137">
        <f>Combinée!K82</f>
        <v>140</v>
      </c>
      <c r="G70" s="144">
        <f>Données!G60</f>
        <v>0</v>
      </c>
      <c r="H70" s="145">
        <f>Données!H60</f>
        <v>0</v>
      </c>
      <c r="I70" s="169">
        <f t="shared" si="15"/>
        <v>161.53522753522756</v>
      </c>
      <c r="J70" s="181">
        <f t="shared" si="16"/>
        <v>162.83725812725916</v>
      </c>
      <c r="K70" s="178">
        <f t="shared" si="17"/>
        <v>1.3020305920315991</v>
      </c>
    </row>
    <row r="71" spans="1:11" ht="16.05" customHeight="1" x14ac:dyDescent="0.3">
      <c r="A71" s="106" t="s">
        <v>157</v>
      </c>
      <c r="B71" s="120">
        <f>Combinée!G83</f>
        <v>98</v>
      </c>
      <c r="C71" s="120">
        <f>Combinée!H83</f>
        <v>103</v>
      </c>
      <c r="D71" s="120">
        <f>Combinée!I83</f>
        <v>108</v>
      </c>
      <c r="E71" s="120">
        <f>Combinée!J83</f>
        <v>113</v>
      </c>
      <c r="F71" s="120">
        <f>Combinée!K83</f>
        <v>136</v>
      </c>
      <c r="G71" s="135">
        <f>Données!G61</f>
        <v>0</v>
      </c>
      <c r="H71" s="136">
        <f>Données!H61</f>
        <v>0</v>
      </c>
      <c r="I71" s="169">
        <f t="shared" si="15"/>
        <v>157.26588003933136</v>
      </c>
      <c r="J71" s="181">
        <f t="shared" si="16"/>
        <v>158.86012740738468</v>
      </c>
      <c r="K71" s="174">
        <f t="shared" si="17"/>
        <v>1.5942473680533169</v>
      </c>
    </row>
    <row r="72" spans="1:11" ht="16.05" customHeight="1" x14ac:dyDescent="0.3">
      <c r="A72" s="110" t="s">
        <v>158</v>
      </c>
      <c r="B72" s="137">
        <f>Combinée!G84</f>
        <v>100</v>
      </c>
      <c r="C72" s="137">
        <f>Combinée!H84</f>
        <v>105</v>
      </c>
      <c r="D72" s="137">
        <f>Combinée!I84</f>
        <v>110</v>
      </c>
      <c r="E72" s="137">
        <f>Combinée!J84</f>
        <v>116</v>
      </c>
      <c r="F72" s="137">
        <f>Combinée!K84</f>
        <v>139</v>
      </c>
      <c r="G72" s="144">
        <f>Données!G62</f>
        <v>0</v>
      </c>
      <c r="H72" s="145">
        <f>Données!H62</f>
        <v>0</v>
      </c>
      <c r="I72" s="169">
        <f t="shared" si="15"/>
        <v>160.56678683385582</v>
      </c>
      <c r="J72" s="181">
        <f t="shared" si="16"/>
        <v>161.87050409581013</v>
      </c>
      <c r="K72" s="178">
        <f t="shared" si="17"/>
        <v>1.3037172619543185</v>
      </c>
    </row>
    <row r="73" spans="1:11" ht="16.95" customHeight="1" x14ac:dyDescent="0.3">
      <c r="A73" s="179" t="s">
        <v>29</v>
      </c>
      <c r="B73" s="147">
        <f>SUM(B61:B72)</f>
        <v>1202</v>
      </c>
      <c r="C73" s="147">
        <f>SUM(C61:C72)</f>
        <v>1262</v>
      </c>
      <c r="D73" s="147">
        <f>SUM(D61:D72)</f>
        <v>1322</v>
      </c>
      <c r="E73" s="147">
        <f>SUM(E61:E72)</f>
        <v>1389</v>
      </c>
      <c r="F73" s="147">
        <f>SUM(F61:F72)</f>
        <v>1512</v>
      </c>
      <c r="I73" s="147">
        <f>SUM(I61:I72)</f>
        <v>1632.7001337230774</v>
      </c>
      <c r="J73" s="147">
        <f>SUM(J61:J72)</f>
        <v>1636.7338220119887</v>
      </c>
    </row>
    <row r="74" spans="1:11" ht="16.05" customHeight="1" x14ac:dyDescent="0.3">
      <c r="A74" s="49" t="s">
        <v>279</v>
      </c>
      <c r="B74" s="50">
        <f>SUMPRODUCT(ABS(E61:E72*(E61:E72/D61:D72)-F61:F72)/F61:F72)/12</f>
        <v>3.4039473331618345E-2</v>
      </c>
    </row>
  </sheetData>
  <mergeCells count="11">
    <mergeCell ref="A59:K59"/>
    <mergeCell ref="A24:N24"/>
    <mergeCell ref="A41:K41"/>
    <mergeCell ref="C5:J5"/>
    <mergeCell ref="A2:J2"/>
    <mergeCell ref="A40:K40"/>
    <mergeCell ref="A1:N1"/>
    <mergeCell ref="C4:J4"/>
    <mergeCell ref="A58:K58"/>
    <mergeCell ref="C3:J3"/>
    <mergeCell ref="A8:N8"/>
  </mergeCells>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8"/>
  <sheetViews>
    <sheetView workbookViewId="0"/>
  </sheetViews>
  <sheetFormatPr defaultRowHeight="14.4" x14ac:dyDescent="0.3"/>
  <cols>
    <col min="1" max="1" width="10" customWidth="1"/>
    <col min="2" max="2" width="8" customWidth="1"/>
    <col min="3" max="3" width="26" customWidth="1"/>
    <col min="4" max="6" width="15" customWidth="1"/>
    <col min="7" max="7" width="12" customWidth="1"/>
    <col min="8" max="8" width="45" customWidth="1"/>
  </cols>
  <sheetData>
    <row r="1" spans="1:8" ht="31.95" customHeight="1" x14ac:dyDescent="0.3">
      <c r="A1" s="403" t="s">
        <v>280</v>
      </c>
      <c r="B1" s="373"/>
      <c r="C1" s="373"/>
      <c r="D1" s="373"/>
      <c r="E1" s="373"/>
      <c r="F1" s="373"/>
      <c r="G1" s="373"/>
      <c r="H1" s="374"/>
    </row>
    <row r="2" spans="1:8" ht="13.05" customHeight="1" x14ac:dyDescent="0.3">
      <c r="A2" s="428" t="s">
        <v>281</v>
      </c>
      <c r="B2" s="373"/>
      <c r="C2" s="373"/>
      <c r="D2" s="373"/>
      <c r="E2" s="373"/>
      <c r="F2" s="373"/>
      <c r="G2" s="373"/>
      <c r="H2" s="374"/>
    </row>
    <row r="3" spans="1:8" ht="4.95" customHeight="1" x14ac:dyDescent="0.3">
      <c r="A3" s="48"/>
      <c r="B3" s="48"/>
      <c r="C3" s="48"/>
      <c r="D3" s="48"/>
      <c r="E3" s="48"/>
      <c r="F3" s="48"/>
      <c r="G3" s="48"/>
      <c r="H3" s="48"/>
    </row>
    <row r="4" spans="1:8" ht="19.95" customHeight="1" x14ac:dyDescent="0.3">
      <c r="A4" s="418" t="s">
        <v>282</v>
      </c>
      <c r="B4" s="373"/>
      <c r="C4" s="373"/>
      <c r="D4" s="373"/>
      <c r="E4" s="373"/>
      <c r="F4" s="373"/>
      <c r="G4" s="373"/>
      <c r="H4" s="374"/>
    </row>
    <row r="5" spans="1:8" ht="25.95" customHeight="1" x14ac:dyDescent="0.3">
      <c r="A5" s="416" t="s">
        <v>283</v>
      </c>
      <c r="B5" s="373"/>
      <c r="C5" s="373"/>
      <c r="D5" s="373"/>
      <c r="E5" s="373"/>
      <c r="F5" s="373"/>
      <c r="G5" s="373"/>
      <c r="H5" s="374"/>
    </row>
    <row r="6" spans="1:8" ht="30" customHeight="1" x14ac:dyDescent="0.3">
      <c r="A6" s="182" t="s">
        <v>284</v>
      </c>
      <c r="B6" s="182" t="s">
        <v>285</v>
      </c>
      <c r="C6" s="182" t="s">
        <v>286</v>
      </c>
      <c r="D6" s="182" t="s">
        <v>287</v>
      </c>
      <c r="E6" s="182" t="s">
        <v>288</v>
      </c>
      <c r="F6" s="182" t="s">
        <v>289</v>
      </c>
      <c r="G6" s="182" t="s">
        <v>290</v>
      </c>
    </row>
    <row r="7" spans="1:8" ht="25.95" customHeight="1" x14ac:dyDescent="0.3">
      <c r="A7" s="183" t="s">
        <v>50</v>
      </c>
      <c r="B7" s="183" t="s">
        <v>231</v>
      </c>
      <c r="C7" s="184">
        <f>Combinée!B36</f>
        <v>1.4199073398998924E-2</v>
      </c>
      <c r="D7" s="185">
        <f>Simplifiée!B22</f>
        <v>1.4199073398998924E-2</v>
      </c>
      <c r="E7" s="186">
        <f>Simplifiée!B22</f>
        <v>1.4199073398998924E-2</v>
      </c>
      <c r="F7" s="187">
        <f>IFERROR((MAX(C7:E7)-MIN(C7:E7))/MIN(C7:E7),0)</f>
        <v>0</v>
      </c>
      <c r="G7" s="415" t="s">
        <v>291</v>
      </c>
      <c r="H7" s="374"/>
    </row>
    <row r="8" spans="1:8" ht="25.95" customHeight="1" x14ac:dyDescent="0.3">
      <c r="A8" s="188" t="s">
        <v>58</v>
      </c>
      <c r="B8" s="188" t="s">
        <v>231</v>
      </c>
      <c r="C8" s="189">
        <f>Combinée!B53</f>
        <v>4.6377903763156576E-3</v>
      </c>
      <c r="D8" s="190">
        <f>Simplifiée!B38</f>
        <v>4.6377903763156576E-3</v>
      </c>
      <c r="E8" s="191">
        <f>Simplifiée!B38</f>
        <v>4.6377903763156576E-3</v>
      </c>
      <c r="F8" s="192">
        <f>IFERROR((MAX(C8:E8)-MIN(C8:E8))/MIN(C8:E8),0)</f>
        <v>0</v>
      </c>
      <c r="G8" s="426" t="s">
        <v>291</v>
      </c>
      <c r="H8" s="374"/>
    </row>
    <row r="9" spans="1:8" ht="25.95" customHeight="1" x14ac:dyDescent="0.3">
      <c r="A9" s="193" t="s">
        <v>292</v>
      </c>
      <c r="B9" s="193" t="s">
        <v>232</v>
      </c>
      <c r="C9" s="194">
        <f>Combinée!B70</f>
        <v>3.5427689240948167E-3</v>
      </c>
      <c r="D9" s="195">
        <f>Simplifiée!B56</f>
        <v>3.5427689240948167E-3</v>
      </c>
      <c r="E9" s="196">
        <f>Simplifiée!B56</f>
        <v>3.5427689240948167E-3</v>
      </c>
      <c r="F9" s="197">
        <f>IFERROR((MAX(C9:E9)-MIN(C9:E9))/MIN(C9:E9),0)</f>
        <v>0</v>
      </c>
      <c r="G9" s="419" t="s">
        <v>291</v>
      </c>
      <c r="H9" s="374"/>
    </row>
    <row r="10" spans="1:8" ht="25.95" customHeight="1" x14ac:dyDescent="0.3">
      <c r="A10" s="198" t="s">
        <v>293</v>
      </c>
      <c r="B10" s="198" t="s">
        <v>239</v>
      </c>
      <c r="C10" s="199">
        <f>Combinée!B87</f>
        <v>3.4039473331618345E-2</v>
      </c>
      <c r="D10" s="200">
        <f>Simplifiée!B74</f>
        <v>3.4039473331618345E-2</v>
      </c>
      <c r="E10" s="201">
        <f>Simplifiée!B74</f>
        <v>3.4039473331618345E-2</v>
      </c>
      <c r="F10" s="202">
        <f>IFERROR((MAX(C10:E10)-MIN(C10:E10))/MIN(C10:E10),0)</f>
        <v>0</v>
      </c>
      <c r="G10" s="427" t="s">
        <v>291</v>
      </c>
      <c r="H10" s="374"/>
    </row>
    <row r="11" spans="1:8" ht="4.95" customHeight="1" x14ac:dyDescent="0.3">
      <c r="A11" s="48"/>
      <c r="B11" s="48"/>
      <c r="C11" s="48"/>
      <c r="D11" s="48"/>
      <c r="E11" s="48"/>
      <c r="F11" s="48"/>
      <c r="G11" s="48"/>
      <c r="H11" s="48"/>
    </row>
    <row r="12" spans="1:8" ht="19.95" customHeight="1" x14ac:dyDescent="0.3">
      <c r="A12" s="409" t="s">
        <v>294</v>
      </c>
      <c r="B12" s="373"/>
      <c r="C12" s="373"/>
      <c r="D12" s="373"/>
      <c r="E12" s="373"/>
      <c r="F12" s="373"/>
      <c r="G12" s="373"/>
      <c r="H12" s="374"/>
    </row>
    <row r="13" spans="1:8" ht="30" customHeight="1" x14ac:dyDescent="0.3">
      <c r="A13" s="203" t="s">
        <v>284</v>
      </c>
      <c r="B13" s="203" t="s">
        <v>285</v>
      </c>
      <c r="C13" s="203" t="s">
        <v>286</v>
      </c>
      <c r="D13" s="203" t="s">
        <v>287</v>
      </c>
      <c r="E13" s="203" t="s">
        <v>288</v>
      </c>
      <c r="F13" s="203" t="s">
        <v>289</v>
      </c>
      <c r="G13" s="203" t="s">
        <v>295</v>
      </c>
    </row>
    <row r="14" spans="1:8" ht="30" customHeight="1" x14ac:dyDescent="0.3">
      <c r="A14" s="183" t="s">
        <v>50</v>
      </c>
      <c r="B14" s="183" t="s">
        <v>231</v>
      </c>
      <c r="C14" s="204">
        <f>Combinée!W34</f>
        <v>1136.3878519671082</v>
      </c>
      <c r="D14" s="205">
        <f>Simplifiée!E21</f>
        <v>1157.3189556856082</v>
      </c>
      <c r="E14" s="206">
        <f>Simplifiée!M21</f>
        <v>1154.1960916455419</v>
      </c>
      <c r="F14" s="187">
        <f>(MAX(C14:E14)-MIN(C14:E14))/MIN(C14:E14)</f>
        <v>1.8418978768796147E-2</v>
      </c>
      <c r="G14" s="415" t="s">
        <v>296</v>
      </c>
      <c r="H14" s="374"/>
    </row>
    <row r="15" spans="1:8" ht="30" customHeight="1" x14ac:dyDescent="0.3">
      <c r="A15" s="188" t="s">
        <v>58</v>
      </c>
      <c r="B15" s="188" t="s">
        <v>231</v>
      </c>
      <c r="C15" s="207">
        <f>Combinée!W51</f>
        <v>1012.038592865259</v>
      </c>
      <c r="D15" s="208">
        <f>Simplifiée!E37</f>
        <v>1061.0065250439281</v>
      </c>
      <c r="E15" s="209">
        <f>Simplifiée!M37</f>
        <v>1061.7083484332109</v>
      </c>
      <c r="F15" s="192">
        <f>(MAX(C15:E15)-MIN(C15:E15))/MIN(C15:E15)</f>
        <v>4.9078914498041047E-2</v>
      </c>
      <c r="G15" s="426" t="s">
        <v>296</v>
      </c>
      <c r="H15" s="374"/>
    </row>
    <row r="16" spans="1:8" ht="30" customHeight="1" x14ac:dyDescent="0.3">
      <c r="A16" s="193" t="s">
        <v>292</v>
      </c>
      <c r="B16" s="193" t="s">
        <v>232</v>
      </c>
      <c r="C16" s="210">
        <f>Combinée!W68</f>
        <v>1638.337691280276</v>
      </c>
      <c r="D16" s="211">
        <f>Simplifiée!I55</f>
        <v>1862.3695703194217</v>
      </c>
      <c r="E16" s="212">
        <f>Simplifiée!J55</f>
        <v>1827.4728307127309</v>
      </c>
      <c r="F16" s="197">
        <f>(MAX(C16:E16)-MIN(C16:E16))/MIN(C16:E16)</f>
        <v>0.13674340780384317</v>
      </c>
      <c r="G16" s="419" t="s">
        <v>297</v>
      </c>
      <c r="H16" s="374"/>
    </row>
    <row r="17" spans="1:8" ht="30" customHeight="1" x14ac:dyDescent="0.3">
      <c r="A17" s="198" t="s">
        <v>293</v>
      </c>
      <c r="B17" s="198" t="s">
        <v>239</v>
      </c>
      <c r="C17" s="213">
        <f>Combinée!W85</f>
        <v>1523.1783275957362</v>
      </c>
      <c r="D17" s="214">
        <f>Simplifiée!I73</f>
        <v>1632.7001337230774</v>
      </c>
      <c r="E17" s="215">
        <f>Simplifiée!J73</f>
        <v>1636.7338220119887</v>
      </c>
      <c r="F17" s="202">
        <f>(MAX(C17:E17)-MIN(C17:E17))/MIN(C17:E17)</f>
        <v>7.4551674192669476E-2</v>
      </c>
      <c r="G17" s="427" t="s">
        <v>298</v>
      </c>
      <c r="H17" s="374"/>
    </row>
    <row r="18" spans="1:8" ht="4.95" customHeight="1" x14ac:dyDescent="0.3">
      <c r="A18" s="48"/>
      <c r="B18" s="48"/>
      <c r="C18" s="48"/>
      <c r="D18" s="48"/>
      <c r="E18" s="48"/>
      <c r="F18" s="48"/>
      <c r="G18" s="48"/>
      <c r="H18" s="48"/>
    </row>
    <row r="19" spans="1:8" ht="19.95" customHeight="1" x14ac:dyDescent="0.3">
      <c r="A19" s="417" t="s">
        <v>299</v>
      </c>
      <c r="B19" s="373"/>
      <c r="C19" s="373"/>
      <c r="D19" s="373"/>
      <c r="E19" s="373"/>
      <c r="F19" s="373"/>
      <c r="G19" s="373"/>
      <c r="H19" s="374"/>
    </row>
    <row r="20" spans="1:8" ht="25.95" customHeight="1" x14ac:dyDescent="0.3">
      <c r="A20" s="420" t="s">
        <v>300</v>
      </c>
      <c r="B20" s="373"/>
      <c r="C20" s="373"/>
      <c r="D20" s="373"/>
      <c r="E20" s="373"/>
      <c r="F20" s="373"/>
      <c r="G20" s="373"/>
      <c r="H20" s="374"/>
    </row>
    <row r="21" spans="1:8" ht="18" customHeight="1" x14ac:dyDescent="0.3">
      <c r="A21" s="103" t="s">
        <v>2</v>
      </c>
      <c r="B21" s="103" t="s">
        <v>301</v>
      </c>
      <c r="C21" s="103" t="s">
        <v>302</v>
      </c>
      <c r="D21" s="103" t="s">
        <v>303</v>
      </c>
      <c r="E21" s="103" t="s">
        <v>304</v>
      </c>
    </row>
    <row r="22" spans="1:8" x14ac:dyDescent="0.3">
      <c r="A22" s="106" t="s">
        <v>156</v>
      </c>
      <c r="B22" s="216">
        <f>Combinée!W82</f>
        <v>141.03503033293853</v>
      </c>
      <c r="C22" s="217">
        <f>Simplifiée!I70</f>
        <v>161.53522753522756</v>
      </c>
      <c r="D22" s="218">
        <f>Simplifiée!J70</f>
        <v>162.83725812725916</v>
      </c>
      <c r="E22" s="219">
        <f>(C22-B22)/B22</f>
        <v>0.14535535713286712</v>
      </c>
    </row>
    <row r="23" spans="1:8" x14ac:dyDescent="0.3">
      <c r="A23" s="110" t="s">
        <v>157</v>
      </c>
      <c r="B23" s="220">
        <f>Combinée!W83</f>
        <v>137.00545803771172</v>
      </c>
      <c r="C23" s="221">
        <f>Simplifiée!I71</f>
        <v>157.26588003933136</v>
      </c>
      <c r="D23" s="222">
        <f>Simplifiée!J71</f>
        <v>158.86012740738468</v>
      </c>
      <c r="E23" s="223">
        <f>(C23-B23)/B23</f>
        <v>0.14788040047311707</v>
      </c>
    </row>
    <row r="24" spans="1:8" x14ac:dyDescent="0.3">
      <c r="A24" s="106" t="s">
        <v>158</v>
      </c>
      <c r="B24" s="216">
        <f>Combinée!W84</f>
        <v>140.02763725913184</v>
      </c>
      <c r="C24" s="217">
        <f>Simplifiée!I72</f>
        <v>160.56678683385582</v>
      </c>
      <c r="D24" s="218">
        <f>Simplifiée!J72</f>
        <v>161.87050409581013</v>
      </c>
      <c r="E24" s="219">
        <f>(C24-B24)/B24</f>
        <v>0.14667925544380009</v>
      </c>
    </row>
    <row r="25" spans="1:8" ht="4.95" customHeight="1" x14ac:dyDescent="0.3">
      <c r="A25" s="48"/>
      <c r="B25" s="48"/>
      <c r="C25" s="48"/>
      <c r="D25" s="48"/>
      <c r="E25" s="48"/>
      <c r="F25" s="48"/>
      <c r="G25" s="48"/>
      <c r="H25" s="48"/>
    </row>
    <row r="26" spans="1:8" ht="19.95" customHeight="1" x14ac:dyDescent="0.3">
      <c r="A26" s="424" t="s">
        <v>305</v>
      </c>
      <c r="B26" s="373"/>
      <c r="C26" s="373"/>
      <c r="D26" s="373"/>
      <c r="E26" s="373"/>
      <c r="F26" s="373"/>
      <c r="G26" s="373"/>
      <c r="H26" s="374"/>
    </row>
    <row r="27" spans="1:8" ht="34.049999999999997" customHeight="1" x14ac:dyDescent="0.3">
      <c r="A27" s="224" t="s">
        <v>306</v>
      </c>
      <c r="B27" s="425" t="s">
        <v>307</v>
      </c>
      <c r="C27" s="373"/>
      <c r="D27" s="373"/>
      <c r="E27" s="373"/>
      <c r="F27" s="373"/>
      <c r="G27" s="373"/>
      <c r="H27" s="374"/>
    </row>
    <row r="28" spans="1:8" ht="34.049999999999997" customHeight="1" x14ac:dyDescent="0.3">
      <c r="A28" s="225" t="s">
        <v>308</v>
      </c>
      <c r="B28" s="422" t="s">
        <v>309</v>
      </c>
      <c r="C28" s="373"/>
      <c r="D28" s="373"/>
      <c r="E28" s="373"/>
      <c r="F28" s="373"/>
      <c r="G28" s="373"/>
      <c r="H28" s="374"/>
    </row>
    <row r="29" spans="1:8" ht="34.049999999999997" customHeight="1" x14ac:dyDescent="0.3">
      <c r="A29" s="226" t="s">
        <v>310</v>
      </c>
      <c r="B29" s="421" t="s">
        <v>311</v>
      </c>
      <c r="C29" s="373"/>
      <c r="D29" s="373"/>
      <c r="E29" s="373"/>
      <c r="F29" s="373"/>
      <c r="G29" s="373"/>
      <c r="H29" s="374"/>
    </row>
    <row r="30" spans="1:8" ht="34.049999999999997" customHeight="1" x14ac:dyDescent="0.3">
      <c r="A30" s="227" t="s">
        <v>312</v>
      </c>
      <c r="B30" s="423" t="s">
        <v>313</v>
      </c>
      <c r="C30" s="373"/>
      <c r="D30" s="373"/>
      <c r="E30" s="373"/>
      <c r="F30" s="373"/>
      <c r="G30" s="373"/>
      <c r="H30" s="374"/>
    </row>
    <row r="31" spans="1:8" ht="4.95" customHeight="1" x14ac:dyDescent="0.3">
      <c r="A31" s="48"/>
      <c r="B31" s="48"/>
      <c r="C31" s="48"/>
      <c r="D31" s="48"/>
      <c r="E31" s="48"/>
      <c r="F31" s="48"/>
      <c r="G31" s="48"/>
      <c r="H31" s="48"/>
    </row>
    <row r="32" spans="1:8" ht="19.95" customHeight="1" x14ac:dyDescent="0.3">
      <c r="A32" s="417" t="s">
        <v>314</v>
      </c>
      <c r="B32" s="373"/>
      <c r="C32" s="373"/>
      <c r="D32" s="373"/>
      <c r="E32" s="373"/>
      <c r="F32" s="373"/>
      <c r="G32" s="373"/>
      <c r="H32" s="374"/>
    </row>
    <row r="33" spans="1:8" ht="43.95" customHeight="1" x14ac:dyDescent="0.3">
      <c r="A33" s="412" t="s">
        <v>315</v>
      </c>
      <c r="B33" s="373"/>
      <c r="C33" s="373"/>
      <c r="D33" s="373"/>
      <c r="E33" s="373"/>
      <c r="F33" s="373"/>
      <c r="G33" s="373"/>
      <c r="H33" s="374"/>
    </row>
    <row r="34" spans="1:8" ht="28.05" customHeight="1" x14ac:dyDescent="0.3">
      <c r="A34" s="228" t="s">
        <v>284</v>
      </c>
      <c r="B34" s="228" t="s">
        <v>285</v>
      </c>
      <c r="C34" s="228" t="s">
        <v>316</v>
      </c>
      <c r="D34" s="228" t="s">
        <v>317</v>
      </c>
      <c r="E34" s="228" t="s">
        <v>318</v>
      </c>
      <c r="F34" s="228" t="s">
        <v>319</v>
      </c>
      <c r="G34" s="228" t="s">
        <v>320</v>
      </c>
      <c r="H34" s="228" t="s">
        <v>321</v>
      </c>
    </row>
    <row r="35" spans="1:8" ht="18" customHeight="1" x14ac:dyDescent="0.3">
      <c r="A35" s="183" t="s">
        <v>50</v>
      </c>
      <c r="B35" s="183" t="s">
        <v>231</v>
      </c>
      <c r="C35" s="229">
        <f>Combinée!W34</f>
        <v>1136.3878519671082</v>
      </c>
      <c r="D35" s="230">
        <f>SQRT(SUMPRODUCT((ABS(Combinée!J22:J33*(Combinée!J22:J33/Combinée!I22:I33)-Combinée!K22:K33)/Combinée!K22:K33-Combinée!B36)^2)/11)</f>
        <v>4.7375262755752975E-2</v>
      </c>
      <c r="E35" s="231">
        <f>_xlfn.T.INV.2T(0.05,11)</f>
        <v>2.2009851600916384</v>
      </c>
      <c r="F35" s="187">
        <f>D35*E35</f>
        <v>0.10427225028085439</v>
      </c>
      <c r="G35" s="232">
        <f>C35*(1-F35)</f>
        <v>1017.8941334506713</v>
      </c>
      <c r="H35" s="233">
        <f>C35*(1+F35)</f>
        <v>1254.8815704835449</v>
      </c>
    </row>
    <row r="36" spans="1:8" ht="18" customHeight="1" x14ac:dyDescent="0.3">
      <c r="A36" s="188" t="s">
        <v>58</v>
      </c>
      <c r="B36" s="188" t="s">
        <v>231</v>
      </c>
      <c r="C36" s="234">
        <f>Combinée!W51</f>
        <v>1012.038592865259</v>
      </c>
      <c r="D36" s="235">
        <f>SQRT(SUMPRODUCT((ABS(Combinée!J39:J50*(Combinée!J39:J50/Combinée!I39:I50)-Combinée!K39:K50)/Combinée!K39:K50-Combinée!B53)^2)/11)</f>
        <v>5.1313499575449681E-3</v>
      </c>
      <c r="E36" s="236">
        <f>_xlfn.T.INV.2T(0.05,11)</f>
        <v>2.2009851600916384</v>
      </c>
      <c r="F36" s="192">
        <f>D36*E36</f>
        <v>1.1294025107793334E-2</v>
      </c>
      <c r="G36" s="237">
        <f>C36*(1-F36)</f>
        <v>1000.608603587383</v>
      </c>
      <c r="H36" s="238">
        <f>C36*(1+F36)</f>
        <v>1023.4685821431351</v>
      </c>
    </row>
    <row r="37" spans="1:8" ht="18" customHeight="1" x14ac:dyDescent="0.3">
      <c r="A37" s="193" t="s">
        <v>292</v>
      </c>
      <c r="B37" s="193" t="s">
        <v>232</v>
      </c>
      <c r="C37" s="239">
        <f>Combinée!W68</f>
        <v>1638.337691280276</v>
      </c>
      <c r="D37" s="240">
        <f>SQRT(SUMPRODUCT((ABS(Combinée!J56:J67*(Combinée!J56:J67/Combinée!I56:I67)-Combinée!K56:K67)/Combinée!K56:K67-Combinée!B70)^2)/11)</f>
        <v>1.8534756830870418E-3</v>
      </c>
      <c r="E37" s="241">
        <f>_xlfn.T.INV.2T(0.05,11)</f>
        <v>2.2009851600916384</v>
      </c>
      <c r="F37" s="197">
        <f>D37*E37</f>
        <v>4.0794724730652916E-3</v>
      </c>
      <c r="G37" s="242">
        <f>C37*(1-F37)</f>
        <v>1631.6541377671128</v>
      </c>
      <c r="H37" s="243">
        <f>C37*(1+F37)</f>
        <v>1645.0212447934391</v>
      </c>
    </row>
    <row r="38" spans="1:8" ht="18" customHeight="1" x14ac:dyDescent="0.3">
      <c r="A38" s="198" t="s">
        <v>293</v>
      </c>
      <c r="B38" s="198" t="s">
        <v>239</v>
      </c>
      <c r="C38" s="244">
        <f>Combinée!W85</f>
        <v>1523.1783275957362</v>
      </c>
      <c r="D38" s="245">
        <f>SQRT(SUMPRODUCT((ABS(Combinée!J73:J84*(Combinée!J73:J84/Combinée!I73:I84)-Combinée!K73:K84)/Combinée!K73:K84-Combinée!B87)^2)/11)</f>
        <v>5.3885859462572031E-2</v>
      </c>
      <c r="E38" s="246">
        <f>_xlfn.T.INV.2T(0.05,11)</f>
        <v>2.2009851600916384</v>
      </c>
      <c r="F38" s="202">
        <f>D38*E38</f>
        <v>0.11860197701590462</v>
      </c>
      <c r="G38" s="247">
        <f>C38*(1-F38)</f>
        <v>1342.5263665951027</v>
      </c>
      <c r="H38" s="248">
        <f>C38*(1+F38)</f>
        <v>1703.8302885963697</v>
      </c>
    </row>
  </sheetData>
  <mergeCells count="22">
    <mergeCell ref="A1:H1"/>
    <mergeCell ref="G8:H8"/>
    <mergeCell ref="G17:H17"/>
    <mergeCell ref="G7:H7"/>
    <mergeCell ref="G10:H10"/>
    <mergeCell ref="A12:H12"/>
    <mergeCell ref="G15:H15"/>
    <mergeCell ref="A2:H2"/>
    <mergeCell ref="A33:H33"/>
    <mergeCell ref="G14:H14"/>
    <mergeCell ref="A5:H5"/>
    <mergeCell ref="A32:H32"/>
    <mergeCell ref="A4:H4"/>
    <mergeCell ref="G16:H16"/>
    <mergeCell ref="A20:H20"/>
    <mergeCell ref="A19:H19"/>
    <mergeCell ref="B29:H29"/>
    <mergeCell ref="G9:H9"/>
    <mergeCell ref="B28:H28"/>
    <mergeCell ref="B30:H30"/>
    <mergeCell ref="A26:H26"/>
    <mergeCell ref="B27:H27"/>
  </mergeCells>
  <conditionalFormatting sqref="F7:F10">
    <cfRule type="colorScale" priority="1">
      <colorScale>
        <cfvo type="min"/>
        <cfvo type="max"/>
        <color rgb="FFC8E6C9"/>
        <color rgb="FFFCE4D6"/>
      </colorScale>
    </cfRule>
  </conditionalFormatting>
  <conditionalFormatting sqref="F14:F17">
    <cfRule type="colorScale" priority="2">
      <colorScale>
        <cfvo type="min"/>
        <cfvo type="max"/>
        <color rgb="FFC8E6C9"/>
        <color rgb="FFFCE4D6"/>
      </colorScale>
    </cfRule>
  </conditionalFormatting>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24"/>
  <sheetViews>
    <sheetView workbookViewId="0"/>
  </sheetViews>
  <sheetFormatPr defaultRowHeight="14.4" x14ac:dyDescent="0.3"/>
  <cols>
    <col min="1" max="1" width="22" customWidth="1"/>
    <col min="2" max="4" width="10" customWidth="1"/>
    <col min="5" max="5" width="11" customWidth="1"/>
    <col min="6" max="7" width="10" customWidth="1"/>
    <col min="8" max="8" width="20" customWidth="1"/>
    <col min="9" max="9" width="18" customWidth="1"/>
    <col min="10" max="12" width="12" customWidth="1"/>
  </cols>
  <sheetData>
    <row r="1" spans="1:9" ht="46.05" customHeight="1" x14ac:dyDescent="0.3">
      <c r="A1" s="372" t="s">
        <v>322</v>
      </c>
      <c r="B1" s="373"/>
      <c r="C1" s="373"/>
      <c r="D1" s="373"/>
      <c r="E1" s="373"/>
      <c r="F1" s="373"/>
      <c r="G1" s="373"/>
      <c r="H1" s="373"/>
      <c r="I1" s="374"/>
    </row>
    <row r="2" spans="1:9" ht="13.95" customHeight="1" x14ac:dyDescent="0.3">
      <c r="A2" s="441" t="s">
        <v>323</v>
      </c>
      <c r="B2" s="373"/>
      <c r="C2" s="373"/>
      <c r="D2" s="373"/>
      <c r="E2" s="373"/>
      <c r="F2" s="373"/>
      <c r="G2" s="373"/>
      <c r="H2" s="373"/>
      <c r="I2" s="374"/>
    </row>
    <row r="3" spans="1:9" ht="4.95" customHeight="1" x14ac:dyDescent="0.3">
      <c r="A3" s="48"/>
      <c r="B3" s="48"/>
      <c r="C3" s="48"/>
      <c r="D3" s="48"/>
      <c r="E3" s="48"/>
      <c r="F3" s="48"/>
      <c r="G3" s="48"/>
      <c r="H3" s="48"/>
      <c r="I3" s="48"/>
    </row>
    <row r="4" spans="1:9" ht="19.95" customHeight="1" x14ac:dyDescent="0.3">
      <c r="A4" s="437" t="s">
        <v>324</v>
      </c>
      <c r="B4" s="373"/>
      <c r="C4" s="373"/>
      <c r="D4" s="373"/>
      <c r="E4" s="373"/>
      <c r="F4" s="373"/>
      <c r="G4" s="373"/>
      <c r="H4" s="373"/>
      <c r="I4" s="374"/>
    </row>
    <row r="5" spans="1:9" ht="31.95" customHeight="1" x14ac:dyDescent="0.3">
      <c r="A5" s="443" t="s">
        <v>325</v>
      </c>
      <c r="B5" s="373"/>
      <c r="C5" s="373"/>
      <c r="D5" s="373"/>
      <c r="E5" s="373"/>
      <c r="F5" s="373"/>
      <c r="G5" s="373"/>
      <c r="H5" s="373"/>
      <c r="I5" s="374"/>
    </row>
    <row r="6" spans="1:9" ht="18" customHeight="1" x14ac:dyDescent="0.3">
      <c r="A6" s="249" t="s">
        <v>284</v>
      </c>
      <c r="B6" s="249" t="s">
        <v>326</v>
      </c>
      <c r="C6" s="249" t="s">
        <v>327</v>
      </c>
      <c r="D6" s="249" t="s">
        <v>285</v>
      </c>
      <c r="E6" s="249" t="s">
        <v>328</v>
      </c>
    </row>
    <row r="7" spans="1:9" ht="25.95" customHeight="1" x14ac:dyDescent="0.3">
      <c r="A7" s="250" t="s">
        <v>50</v>
      </c>
      <c r="B7" s="251" t="s">
        <v>329</v>
      </c>
      <c r="C7" s="251" t="s">
        <v>330</v>
      </c>
      <c r="D7" s="252" t="s">
        <v>231</v>
      </c>
      <c r="E7" s="415" t="s">
        <v>331</v>
      </c>
      <c r="F7" s="373"/>
      <c r="G7" s="373"/>
      <c r="H7" s="373"/>
      <c r="I7" s="374"/>
    </row>
    <row r="8" spans="1:9" ht="25.95" customHeight="1" x14ac:dyDescent="0.3">
      <c r="A8" s="253" t="s">
        <v>58</v>
      </c>
      <c r="B8" s="254" t="s">
        <v>332</v>
      </c>
      <c r="C8" s="254" t="s">
        <v>333</v>
      </c>
      <c r="D8" s="255" t="s">
        <v>231</v>
      </c>
      <c r="E8" s="426" t="s">
        <v>334</v>
      </c>
      <c r="F8" s="373"/>
      <c r="G8" s="373"/>
      <c r="H8" s="373"/>
      <c r="I8" s="374"/>
    </row>
    <row r="9" spans="1:9" ht="25.95" customHeight="1" x14ac:dyDescent="0.3">
      <c r="A9" s="256" t="s">
        <v>292</v>
      </c>
      <c r="B9" s="257" t="s">
        <v>335</v>
      </c>
      <c r="C9" s="257" t="s">
        <v>336</v>
      </c>
      <c r="D9" s="258" t="s">
        <v>232</v>
      </c>
      <c r="E9" s="419" t="s">
        <v>337</v>
      </c>
      <c r="F9" s="373"/>
      <c r="G9" s="373"/>
      <c r="H9" s="373"/>
      <c r="I9" s="374"/>
    </row>
    <row r="10" spans="1:9" ht="25.95" customHeight="1" x14ac:dyDescent="0.3">
      <c r="A10" s="259" t="s">
        <v>293</v>
      </c>
      <c r="B10" s="260" t="s">
        <v>335</v>
      </c>
      <c r="C10" s="260" t="s">
        <v>338</v>
      </c>
      <c r="D10" s="261" t="s">
        <v>239</v>
      </c>
      <c r="E10" s="427" t="s">
        <v>339</v>
      </c>
      <c r="F10" s="373"/>
      <c r="G10" s="373"/>
      <c r="H10" s="373"/>
      <c r="I10" s="374"/>
    </row>
    <row r="11" spans="1:9" ht="54" customHeight="1" x14ac:dyDescent="0.3">
      <c r="A11" s="448" t="s">
        <v>340</v>
      </c>
      <c r="B11" s="373"/>
      <c r="C11" s="373"/>
      <c r="D11" s="373"/>
      <c r="E11" s="373"/>
      <c r="F11" s="373"/>
      <c r="G11" s="373"/>
      <c r="H11" s="373"/>
      <c r="I11" s="374"/>
    </row>
    <row r="12" spans="1:9" ht="4.95" customHeight="1" x14ac:dyDescent="0.3">
      <c r="A12" s="48"/>
      <c r="B12" s="48"/>
      <c r="C12" s="48"/>
      <c r="D12" s="48"/>
      <c r="E12" s="48"/>
      <c r="F12" s="48"/>
      <c r="G12" s="48"/>
      <c r="H12" s="48"/>
      <c r="I12" s="48"/>
    </row>
    <row r="13" spans="1:9" ht="19.95" customHeight="1" x14ac:dyDescent="0.3">
      <c r="A13" s="437" t="s">
        <v>341</v>
      </c>
      <c r="B13" s="373"/>
      <c r="C13" s="373"/>
      <c r="D13" s="373"/>
      <c r="E13" s="373"/>
      <c r="F13" s="373"/>
      <c r="G13" s="373"/>
      <c r="H13" s="373"/>
      <c r="I13" s="374"/>
    </row>
    <row r="14" spans="1:9" ht="40.049999999999997" customHeight="1" x14ac:dyDescent="0.3">
      <c r="A14" s="443" t="s">
        <v>342</v>
      </c>
      <c r="B14" s="373"/>
      <c r="C14" s="373"/>
      <c r="D14" s="373"/>
      <c r="E14" s="373"/>
      <c r="F14" s="373"/>
      <c r="G14" s="373"/>
      <c r="H14" s="373"/>
      <c r="I14" s="374"/>
    </row>
    <row r="15" spans="1:9" ht="4.95" customHeight="1" x14ac:dyDescent="0.3">
      <c r="A15" s="48"/>
      <c r="B15" s="48"/>
      <c r="C15" s="48"/>
      <c r="D15" s="48"/>
      <c r="E15" s="48"/>
      <c r="F15" s="48"/>
      <c r="G15" s="48"/>
      <c r="H15" s="48"/>
      <c r="I15" s="48"/>
    </row>
    <row r="16" spans="1:9" ht="19.95" customHeight="1" x14ac:dyDescent="0.3">
      <c r="A16" s="437" t="s">
        <v>343</v>
      </c>
      <c r="B16" s="373"/>
      <c r="C16" s="373"/>
      <c r="D16" s="373"/>
      <c r="E16" s="373"/>
      <c r="F16" s="373"/>
      <c r="G16" s="373"/>
      <c r="H16" s="373"/>
      <c r="I16" s="374"/>
    </row>
    <row r="17" spans="1:9" ht="18" customHeight="1" x14ac:dyDescent="0.3">
      <c r="A17" s="249" t="s">
        <v>344</v>
      </c>
      <c r="B17" s="446" t="s">
        <v>345</v>
      </c>
      <c r="C17" s="373"/>
      <c r="D17" s="373"/>
      <c r="E17" s="374"/>
      <c r="F17" s="446" t="s">
        <v>346</v>
      </c>
      <c r="G17" s="373"/>
      <c r="H17" s="373"/>
      <c r="I17" s="374"/>
    </row>
    <row r="18" spans="1:9" ht="34.049999999999997" customHeight="1" x14ac:dyDescent="0.3">
      <c r="A18" s="253" t="s">
        <v>347</v>
      </c>
      <c r="B18" s="449" t="s">
        <v>348</v>
      </c>
      <c r="C18" s="373"/>
      <c r="D18" s="373"/>
      <c r="E18" s="374"/>
      <c r="F18" s="426" t="s">
        <v>349</v>
      </c>
      <c r="G18" s="373"/>
      <c r="H18" s="373"/>
      <c r="I18" s="374"/>
    </row>
    <row r="19" spans="1:9" ht="34.049999999999997" customHeight="1" x14ac:dyDescent="0.3">
      <c r="A19" s="250" t="s">
        <v>350</v>
      </c>
      <c r="B19" s="431" t="s">
        <v>351</v>
      </c>
      <c r="C19" s="373"/>
      <c r="D19" s="373"/>
      <c r="E19" s="374"/>
      <c r="F19" s="415" t="s">
        <v>352</v>
      </c>
      <c r="G19" s="373"/>
      <c r="H19" s="373"/>
      <c r="I19" s="374"/>
    </row>
    <row r="20" spans="1:9" ht="34.049999999999997" customHeight="1" x14ac:dyDescent="0.3">
      <c r="A20" s="253" t="s">
        <v>353</v>
      </c>
      <c r="B20" s="449" t="s">
        <v>354</v>
      </c>
      <c r="C20" s="373"/>
      <c r="D20" s="373"/>
      <c r="E20" s="374"/>
      <c r="F20" s="426" t="s">
        <v>355</v>
      </c>
      <c r="G20" s="373"/>
      <c r="H20" s="373"/>
      <c r="I20" s="374"/>
    </row>
    <row r="21" spans="1:9" ht="34.049999999999997" customHeight="1" x14ac:dyDescent="0.3">
      <c r="A21" s="262" t="s">
        <v>356</v>
      </c>
      <c r="B21" s="455" t="s">
        <v>357</v>
      </c>
      <c r="C21" s="373"/>
      <c r="D21" s="373"/>
      <c r="E21" s="374"/>
      <c r="F21" s="439" t="s">
        <v>358</v>
      </c>
      <c r="G21" s="373"/>
      <c r="H21" s="373"/>
      <c r="I21" s="374"/>
    </row>
    <row r="22" spans="1:9" ht="34.049999999999997" customHeight="1" x14ac:dyDescent="0.3">
      <c r="A22" s="256" t="s">
        <v>359</v>
      </c>
      <c r="B22" s="453" t="s">
        <v>360</v>
      </c>
      <c r="C22" s="373"/>
      <c r="D22" s="373"/>
      <c r="E22" s="374"/>
      <c r="F22" s="419" t="s">
        <v>361</v>
      </c>
      <c r="G22" s="373"/>
      <c r="H22" s="373"/>
      <c r="I22" s="374"/>
    </row>
    <row r="23" spans="1:9" ht="34.049999999999997" customHeight="1" x14ac:dyDescent="0.3">
      <c r="A23" s="263" t="s">
        <v>362</v>
      </c>
      <c r="B23" s="447" t="s">
        <v>363</v>
      </c>
      <c r="C23" s="373"/>
      <c r="D23" s="373"/>
      <c r="E23" s="374"/>
      <c r="F23" s="432" t="s">
        <v>364</v>
      </c>
      <c r="G23" s="373"/>
      <c r="H23" s="373"/>
      <c r="I23" s="374"/>
    </row>
    <row r="24" spans="1:9" ht="4.95" customHeight="1" x14ac:dyDescent="0.3">
      <c r="A24" s="48"/>
      <c r="B24" s="48"/>
      <c r="C24" s="48"/>
      <c r="D24" s="48"/>
      <c r="E24" s="48"/>
      <c r="F24" s="48"/>
      <c r="G24" s="48"/>
      <c r="H24" s="48"/>
      <c r="I24" s="48"/>
    </row>
    <row r="25" spans="1:9" ht="19.95" customHeight="1" x14ac:dyDescent="0.3">
      <c r="A25" s="418" t="s">
        <v>365</v>
      </c>
      <c r="B25" s="373"/>
      <c r="C25" s="373"/>
      <c r="D25" s="373"/>
      <c r="E25" s="373"/>
      <c r="F25" s="373"/>
      <c r="G25" s="373"/>
      <c r="H25" s="373"/>
      <c r="I25" s="374"/>
    </row>
    <row r="26" spans="1:9" ht="30" customHeight="1" x14ac:dyDescent="0.3">
      <c r="A26" s="182" t="s">
        <v>344</v>
      </c>
      <c r="B26" s="182" t="s">
        <v>366</v>
      </c>
      <c r="C26" s="182" t="s">
        <v>367</v>
      </c>
      <c r="D26" s="182" t="s">
        <v>368</v>
      </c>
      <c r="E26" s="182" t="s">
        <v>369</v>
      </c>
      <c r="F26" s="182" t="s">
        <v>370</v>
      </c>
      <c r="G26" s="182" t="s">
        <v>371</v>
      </c>
      <c r="H26" s="182" t="s">
        <v>372</v>
      </c>
      <c r="I26" s="182" t="s">
        <v>373</v>
      </c>
    </row>
    <row r="27" spans="1:9" ht="22.05" customHeight="1" x14ac:dyDescent="0.3">
      <c r="A27" s="264" t="s">
        <v>374</v>
      </c>
      <c r="B27" s="265" t="s">
        <v>375</v>
      </c>
      <c r="C27" s="265" t="s">
        <v>376</v>
      </c>
      <c r="D27" s="265" t="s">
        <v>377</v>
      </c>
      <c r="E27" s="265" t="s">
        <v>378</v>
      </c>
      <c r="F27" s="265" t="s">
        <v>379</v>
      </c>
      <c r="G27" s="265" t="s">
        <v>380</v>
      </c>
      <c r="H27" s="264" t="s">
        <v>381</v>
      </c>
      <c r="I27" s="264" t="s">
        <v>382</v>
      </c>
    </row>
    <row r="28" spans="1:9" ht="22.05" customHeight="1" x14ac:dyDescent="0.3">
      <c r="A28" s="266" t="s">
        <v>350</v>
      </c>
      <c r="B28" s="267" t="s">
        <v>383</v>
      </c>
      <c r="C28" s="267" t="s">
        <v>384</v>
      </c>
      <c r="D28" s="267" t="s">
        <v>377</v>
      </c>
      <c r="E28" s="267" t="s">
        <v>378</v>
      </c>
      <c r="F28" s="268">
        <f>Initiale!B45</f>
        <v>4.9559027102702602E-2</v>
      </c>
      <c r="G28" s="268">
        <f>Initiale!B48</f>
        <v>0.22333993646816763</v>
      </c>
      <c r="H28" s="266" t="s">
        <v>385</v>
      </c>
      <c r="I28" s="266" t="s">
        <v>386</v>
      </c>
    </row>
    <row r="29" spans="1:9" ht="22.05" customHeight="1" x14ac:dyDescent="0.3">
      <c r="A29" s="264" t="s">
        <v>353</v>
      </c>
      <c r="B29" s="265" t="s">
        <v>387</v>
      </c>
      <c r="C29" s="265" t="s">
        <v>388</v>
      </c>
      <c r="D29" s="265" t="s">
        <v>377</v>
      </c>
      <c r="E29" s="265" t="s">
        <v>378</v>
      </c>
      <c r="F29" s="269">
        <f>Optimisée!B52</f>
        <v>1.5618207976698257E-2</v>
      </c>
      <c r="G29" s="269">
        <f>Optimisée!B55</f>
        <v>3.7546570169164771E-3</v>
      </c>
      <c r="H29" s="264" t="s">
        <v>389</v>
      </c>
      <c r="I29" s="264" t="s">
        <v>390</v>
      </c>
    </row>
    <row r="30" spans="1:9" ht="22.05" customHeight="1" x14ac:dyDescent="0.3">
      <c r="A30" s="270" t="s">
        <v>391</v>
      </c>
      <c r="B30" s="271" t="s">
        <v>375</v>
      </c>
      <c r="C30" s="271" t="s">
        <v>392</v>
      </c>
      <c r="D30" s="271" t="s">
        <v>377</v>
      </c>
      <c r="E30" s="271" t="s">
        <v>378</v>
      </c>
      <c r="F30" s="272">
        <f>Simplifiée!B22</f>
        <v>1.4199073398998924E-2</v>
      </c>
      <c r="G30" s="272">
        <f>Simplifiée!B38</f>
        <v>4.6377903763156576E-3</v>
      </c>
      <c r="H30" s="270" t="s">
        <v>393</v>
      </c>
      <c r="I30" s="270" t="s">
        <v>394</v>
      </c>
    </row>
    <row r="31" spans="1:9" ht="22.05" customHeight="1" x14ac:dyDescent="0.3">
      <c r="A31" s="273" t="s">
        <v>359</v>
      </c>
      <c r="B31" s="274" t="s">
        <v>395</v>
      </c>
      <c r="C31" s="274" t="s">
        <v>396</v>
      </c>
      <c r="D31" s="274" t="s">
        <v>397</v>
      </c>
      <c r="E31" s="274" t="s">
        <v>398</v>
      </c>
      <c r="F31" s="275">
        <f>Python!B36</f>
        <v>1.4199073398998924E-2</v>
      </c>
      <c r="G31" s="275">
        <f>Python!B53</f>
        <v>4.6377903763156576E-3</v>
      </c>
      <c r="H31" s="273" t="s">
        <v>399</v>
      </c>
      <c r="I31" s="273" t="s">
        <v>400</v>
      </c>
    </row>
    <row r="32" spans="1:9" ht="22.05" customHeight="1" x14ac:dyDescent="0.3">
      <c r="A32" s="276" t="s">
        <v>362</v>
      </c>
      <c r="B32" s="277" t="s">
        <v>401</v>
      </c>
      <c r="C32" s="277" t="s">
        <v>396</v>
      </c>
      <c r="D32" s="277" t="s">
        <v>402</v>
      </c>
      <c r="E32" s="277" t="s">
        <v>378</v>
      </c>
      <c r="F32" s="278">
        <f>Combinée!B36</f>
        <v>1.4199073398998924E-2</v>
      </c>
      <c r="G32" s="278">
        <f>Combinée!B53</f>
        <v>4.6377903763156576E-3</v>
      </c>
      <c r="H32" s="276" t="s">
        <v>403</v>
      </c>
      <c r="I32" s="276" t="s">
        <v>404</v>
      </c>
    </row>
    <row r="33" spans="1:12" ht="4.95" customHeight="1" x14ac:dyDescent="0.3">
      <c r="A33" s="48"/>
      <c r="B33" s="48"/>
      <c r="C33" s="48"/>
      <c r="D33" s="48"/>
      <c r="E33" s="48"/>
      <c r="F33" s="48"/>
      <c r="G33" s="48"/>
      <c r="H33" s="48"/>
      <c r="I33" s="48"/>
    </row>
    <row r="34" spans="1:12" ht="19.95" customHeight="1" x14ac:dyDescent="0.3">
      <c r="A34" s="440" t="s">
        <v>405</v>
      </c>
      <c r="B34" s="373"/>
      <c r="C34" s="373"/>
      <c r="D34" s="373"/>
      <c r="E34" s="373"/>
      <c r="F34" s="373"/>
      <c r="G34" s="373"/>
      <c r="H34" s="373"/>
      <c r="I34" s="374"/>
    </row>
    <row r="35" spans="1:12" ht="25.95" customHeight="1" x14ac:dyDescent="0.3">
      <c r="A35" s="400" t="s">
        <v>406</v>
      </c>
      <c r="B35" s="373"/>
      <c r="C35" s="373"/>
      <c r="D35" s="373"/>
      <c r="E35" s="373"/>
      <c r="F35" s="373"/>
      <c r="G35" s="373"/>
      <c r="H35" s="373"/>
      <c r="I35" s="374"/>
    </row>
    <row r="36" spans="1:12" ht="16.05" customHeight="1" x14ac:dyDescent="0.3">
      <c r="A36" s="399" t="s">
        <v>407</v>
      </c>
      <c r="B36" s="373"/>
      <c r="C36" s="373"/>
      <c r="D36" s="373"/>
      <c r="E36" s="373"/>
      <c r="F36" s="373"/>
      <c r="G36" s="373"/>
      <c r="H36" s="373"/>
      <c r="I36" s="373"/>
      <c r="J36" s="373"/>
      <c r="K36" s="373"/>
      <c r="L36" s="374"/>
    </row>
    <row r="37" spans="1:12" ht="18" customHeight="1" x14ac:dyDescent="0.3">
      <c r="A37" s="279" t="s">
        <v>2</v>
      </c>
      <c r="B37" s="279" t="s">
        <v>408</v>
      </c>
      <c r="C37" s="279" t="s">
        <v>202</v>
      </c>
      <c r="D37" s="279" t="s">
        <v>353</v>
      </c>
      <c r="E37" s="279" t="s">
        <v>356</v>
      </c>
      <c r="F37" s="279" t="s">
        <v>359</v>
      </c>
      <c r="G37" s="279" t="s">
        <v>362</v>
      </c>
      <c r="H37" s="279" t="s">
        <v>409</v>
      </c>
      <c r="I37" s="279" t="s">
        <v>410</v>
      </c>
      <c r="J37" s="280" t="s">
        <v>411</v>
      </c>
      <c r="K37" s="280" t="s">
        <v>412</v>
      </c>
      <c r="L37" s="280" t="s">
        <v>413</v>
      </c>
    </row>
    <row r="38" spans="1:12" ht="15" customHeight="1" x14ac:dyDescent="0.3">
      <c r="A38" s="281" t="s">
        <v>147</v>
      </c>
      <c r="B38" s="282">
        <f>Initiale!G5</f>
        <v>85</v>
      </c>
      <c r="C38" s="282">
        <f>Initiale!H5</f>
        <v>87.4</v>
      </c>
      <c r="D38" s="282">
        <f>Optimisée!P10</f>
        <v>86.8</v>
      </c>
      <c r="E38" s="282">
        <f>Simplifiée!E9</f>
        <v>87.063364569388668</v>
      </c>
      <c r="F38" s="282">
        <f>Python!W22</f>
        <v>85.173520907452186</v>
      </c>
      <c r="G38" s="282">
        <f>Combinée!W22</f>
        <v>85.173520907452186</v>
      </c>
      <c r="H38" s="283">
        <f t="shared" ref="H38:H49" si="0">E38-G38</f>
        <v>1.8898436619364816</v>
      </c>
      <c r="I38" s="132" t="str">
        <f>Combinée!AB22</f>
        <v/>
      </c>
      <c r="J38" s="284"/>
      <c r="K38" s="285" t="str">
        <f t="shared" ref="K38:K49" si="1">IFERROR(ABS(E38-J38)/J38,"")</f>
        <v/>
      </c>
      <c r="L38" s="285" t="str">
        <f t="shared" ref="L38:L49" si="2">IFERROR(ABS(G38-J38)/J38,"")</f>
        <v/>
      </c>
    </row>
    <row r="39" spans="1:12" ht="15" customHeight="1" x14ac:dyDescent="0.3">
      <c r="A39" s="286" t="s">
        <v>148</v>
      </c>
      <c r="B39" s="287">
        <f>Initiale!G6</f>
        <v>87</v>
      </c>
      <c r="C39" s="287">
        <f>Initiale!H6</f>
        <v>98.3</v>
      </c>
      <c r="D39" s="287">
        <f>Optimisée!P11</f>
        <v>97.8</v>
      </c>
      <c r="E39" s="287">
        <f>Simplifiée!E10</f>
        <v>97.968042523033333</v>
      </c>
      <c r="F39" s="287">
        <f>Python!W23</f>
        <v>95.895364127566779</v>
      </c>
      <c r="G39" s="287">
        <f>Combinée!W23</f>
        <v>95.895364127566779</v>
      </c>
      <c r="H39" s="288">
        <f t="shared" si="0"/>
        <v>2.0726783954665535</v>
      </c>
      <c r="I39" s="143" t="str">
        <f>Combinée!AB23</f>
        <v/>
      </c>
      <c r="J39" s="284"/>
      <c r="K39" s="289" t="str">
        <f t="shared" si="1"/>
        <v/>
      </c>
      <c r="L39" s="289" t="str">
        <f t="shared" si="2"/>
        <v/>
      </c>
    </row>
    <row r="40" spans="1:12" ht="15" customHeight="1" x14ac:dyDescent="0.3">
      <c r="A40" s="281" t="s">
        <v>149</v>
      </c>
      <c r="B40" s="282">
        <f>Initiale!G7</f>
        <v>90</v>
      </c>
      <c r="C40" s="282">
        <f>Initiale!H7</f>
        <v>101.7</v>
      </c>
      <c r="D40" s="282">
        <f>Optimisée!P12</f>
        <v>101.2</v>
      </c>
      <c r="E40" s="282">
        <f>Simplifiée!E11</f>
        <v>101.26569767441862</v>
      </c>
      <c r="F40" s="282">
        <f>Python!W24</f>
        <v>99.202100821620803</v>
      </c>
      <c r="G40" s="282">
        <f>Combinée!W24</f>
        <v>99.202100821620803</v>
      </c>
      <c r="H40" s="283">
        <f t="shared" si="0"/>
        <v>2.063596852797815</v>
      </c>
      <c r="I40" s="132" t="str">
        <f>Combinée!AB24</f>
        <v/>
      </c>
      <c r="J40" s="284"/>
      <c r="K40" s="285" t="str">
        <f t="shared" si="1"/>
        <v/>
      </c>
      <c r="L40" s="285" t="str">
        <f t="shared" si="2"/>
        <v/>
      </c>
    </row>
    <row r="41" spans="1:12" ht="15" customHeight="1" x14ac:dyDescent="0.3">
      <c r="A41" s="286" t="s">
        <v>150</v>
      </c>
      <c r="B41" s="287">
        <f>Initiale!G8</f>
        <v>88</v>
      </c>
      <c r="C41" s="287">
        <f>Initiale!H8</f>
        <v>90.4</v>
      </c>
      <c r="D41" s="287">
        <f>Optimisée!P13</f>
        <v>90</v>
      </c>
      <c r="E41" s="287">
        <f>Simplifiée!E12</f>
        <v>90.061129568106324</v>
      </c>
      <c r="F41" s="287">
        <f>Python!W25</f>
        <v>88.179645174774038</v>
      </c>
      <c r="G41" s="287">
        <f>Combinée!W25</f>
        <v>88.179645174774038</v>
      </c>
      <c r="H41" s="288">
        <f t="shared" si="0"/>
        <v>1.8814843933322862</v>
      </c>
      <c r="I41" s="143" t="str">
        <f>Combinée!AB25</f>
        <v/>
      </c>
      <c r="J41" s="284"/>
      <c r="K41" s="289" t="str">
        <f t="shared" si="1"/>
        <v/>
      </c>
      <c r="L41" s="289" t="str">
        <f t="shared" si="2"/>
        <v/>
      </c>
    </row>
    <row r="42" spans="1:12" ht="15" customHeight="1" x14ac:dyDescent="0.3">
      <c r="A42" s="281" t="s">
        <v>151</v>
      </c>
      <c r="B42" s="282">
        <f>Initiale!G9</f>
        <v>86</v>
      </c>
      <c r="C42" s="282">
        <f>Initiale!H9</f>
        <v>88.4</v>
      </c>
      <c r="D42" s="282">
        <f>Optimisée!P14</f>
        <v>87.9</v>
      </c>
      <c r="E42" s="282">
        <f>Simplifiée!E13</f>
        <v>88.06260162601626</v>
      </c>
      <c r="F42" s="282">
        <f>Python!W26</f>
        <v>86.175562329892799</v>
      </c>
      <c r="G42" s="282">
        <f>Combinée!W26</f>
        <v>86.175562329892799</v>
      </c>
      <c r="H42" s="283">
        <f t="shared" si="0"/>
        <v>1.8870392961234614</v>
      </c>
      <c r="I42" s="132" t="str">
        <f>Combinée!AB26</f>
        <v/>
      </c>
      <c r="J42" s="284"/>
      <c r="K42" s="285" t="str">
        <f t="shared" si="1"/>
        <v/>
      </c>
      <c r="L42" s="285" t="str">
        <f t="shared" si="2"/>
        <v/>
      </c>
    </row>
    <row r="43" spans="1:12" ht="15" customHeight="1" x14ac:dyDescent="0.3">
      <c r="A43" s="286" t="s">
        <v>152</v>
      </c>
      <c r="B43" s="287">
        <f>Initiale!G10</f>
        <v>83</v>
      </c>
      <c r="C43" s="287">
        <f>Initiale!H10</f>
        <v>85.3</v>
      </c>
      <c r="D43" s="287">
        <f>Optimisée!P15</f>
        <v>84.8</v>
      </c>
      <c r="E43" s="287">
        <f>Simplifiée!E14</f>
        <v>85.064947648070017</v>
      </c>
      <c r="F43" s="287">
        <f>Python!W27</f>
        <v>83.169438062570961</v>
      </c>
      <c r="G43" s="287">
        <f>Combinée!W27</f>
        <v>83.169438062570961</v>
      </c>
      <c r="H43" s="288">
        <f t="shared" si="0"/>
        <v>1.895509585499056</v>
      </c>
      <c r="I43" s="143" t="str">
        <f>Combinée!AB27</f>
        <v/>
      </c>
      <c r="J43" s="284"/>
      <c r="K43" s="289" t="str">
        <f t="shared" si="1"/>
        <v/>
      </c>
      <c r="L43" s="289" t="str">
        <f t="shared" si="2"/>
        <v/>
      </c>
    </row>
    <row r="44" spans="1:12" ht="15" customHeight="1" x14ac:dyDescent="0.3">
      <c r="A44" s="281" t="s">
        <v>153</v>
      </c>
      <c r="B44" s="282">
        <f>Initiale!G11</f>
        <v>84</v>
      </c>
      <c r="C44" s="282">
        <f>Initiale!H11</f>
        <v>86.3</v>
      </c>
      <c r="D44" s="282">
        <f>Optimisée!P16</f>
        <v>85.8</v>
      </c>
      <c r="E44" s="282">
        <f>Simplifiée!E15</f>
        <v>86.064146341463427</v>
      </c>
      <c r="F44" s="282">
        <f>Python!W28</f>
        <v>84.171479485011574</v>
      </c>
      <c r="G44" s="282">
        <f>Combinée!W28</f>
        <v>84.171479485011574</v>
      </c>
      <c r="H44" s="283">
        <f t="shared" si="0"/>
        <v>1.8926668564518536</v>
      </c>
      <c r="I44" s="132" t="str">
        <f>Combinée!AB28</f>
        <v/>
      </c>
      <c r="J44" s="284"/>
      <c r="K44" s="285" t="str">
        <f t="shared" si="1"/>
        <v/>
      </c>
      <c r="L44" s="285" t="str">
        <f t="shared" si="2"/>
        <v/>
      </c>
    </row>
    <row r="45" spans="1:12" ht="15" customHeight="1" x14ac:dyDescent="0.3">
      <c r="A45" s="286" t="s">
        <v>154</v>
      </c>
      <c r="B45" s="287">
        <f>Initiale!G12</f>
        <v>91</v>
      </c>
      <c r="C45" s="287">
        <f>Initiale!H12</f>
        <v>93.5</v>
      </c>
      <c r="D45" s="287">
        <f>Optimisée!P17</f>
        <v>93.1</v>
      </c>
      <c r="E45" s="287">
        <f>Simplifiée!E16</f>
        <v>93.05904688105386</v>
      </c>
      <c r="F45" s="287">
        <f>Python!W29</f>
        <v>91.185769442095875</v>
      </c>
      <c r="G45" s="287">
        <f>Combinée!W29</f>
        <v>91.185769442095875</v>
      </c>
      <c r="H45" s="288">
        <f t="shared" si="0"/>
        <v>1.8732774389579845</v>
      </c>
      <c r="I45" s="143" t="str">
        <f>Combinée!AB29</f>
        <v/>
      </c>
      <c r="J45" s="284"/>
      <c r="K45" s="289" t="str">
        <f t="shared" si="1"/>
        <v/>
      </c>
      <c r="L45" s="289" t="str">
        <f t="shared" si="2"/>
        <v/>
      </c>
    </row>
    <row r="46" spans="1:12" ht="15" customHeight="1" x14ac:dyDescent="0.3">
      <c r="A46" s="281" t="s">
        <v>155</v>
      </c>
      <c r="B46" s="282">
        <f>Initiale!G13</f>
        <v>99</v>
      </c>
      <c r="C46" s="282">
        <f>Initiale!H13</f>
        <v>101.6</v>
      </c>
      <c r="D46" s="282">
        <f>Optimisée!P18</f>
        <v>101.4</v>
      </c>
      <c r="E46" s="282">
        <f>Simplifiée!E17</f>
        <v>101.05412913727618</v>
      </c>
      <c r="F46" s="282">
        <f>Python!W30</f>
        <v>99.202100821620789</v>
      </c>
      <c r="G46" s="282">
        <f>Combinée!W30</f>
        <v>99.202100821620789</v>
      </c>
      <c r="H46" s="283">
        <f t="shared" si="0"/>
        <v>1.8520283156553887</v>
      </c>
      <c r="I46" s="132" t="str">
        <f>Combinée!AB30</f>
        <v/>
      </c>
      <c r="J46" s="284"/>
      <c r="K46" s="285" t="str">
        <f t="shared" si="1"/>
        <v/>
      </c>
      <c r="L46" s="285" t="str">
        <f t="shared" si="2"/>
        <v/>
      </c>
    </row>
    <row r="47" spans="1:12" ht="15" customHeight="1" x14ac:dyDescent="0.3">
      <c r="A47" s="286" t="s">
        <v>156</v>
      </c>
      <c r="B47" s="287">
        <f>Initiale!G14</f>
        <v>126</v>
      </c>
      <c r="C47" s="287">
        <f>Initiale!H14</f>
        <v>134.80000000000001</v>
      </c>
      <c r="D47" s="287">
        <f>Optimisée!P19</f>
        <v>132</v>
      </c>
      <c r="E47" s="287">
        <f>Simplifiée!E18</f>
        <v>125.54729728711378</v>
      </c>
      <c r="F47" s="287">
        <f>Python!W31</f>
        <v>125.62866915126104</v>
      </c>
      <c r="G47" s="287">
        <f>Combinée!W31</f>
        <v>125.62866915126104</v>
      </c>
      <c r="H47" s="288">
        <f t="shared" si="0"/>
        <v>-8.1371864147257611E-2</v>
      </c>
      <c r="I47" s="143" t="str">
        <f>Combinée!AB31</f>
        <v>⚠ retournement</v>
      </c>
      <c r="J47" s="284"/>
      <c r="K47" s="289" t="str">
        <f t="shared" si="1"/>
        <v/>
      </c>
      <c r="L47" s="289" t="str">
        <f t="shared" si="2"/>
        <v/>
      </c>
    </row>
    <row r="48" spans="1:12" ht="15" customHeight="1" x14ac:dyDescent="0.3">
      <c r="A48" s="281" t="s">
        <v>157</v>
      </c>
      <c r="B48" s="282">
        <f>Initiale!G15</f>
        <v>104</v>
      </c>
      <c r="C48" s="282">
        <f>Initiale!H15</f>
        <v>106.7</v>
      </c>
      <c r="D48" s="282">
        <f>Optimisée!P20</f>
        <v>106.6</v>
      </c>
      <c r="E48" s="282">
        <f>Simplifiée!E19</f>
        <v>106.05145098039218</v>
      </c>
      <c r="F48" s="282">
        <f>Python!W32</f>
        <v>104.21230793382385</v>
      </c>
      <c r="G48" s="282">
        <f>Combinée!W32</f>
        <v>104.21230793382385</v>
      </c>
      <c r="H48" s="283">
        <f t="shared" si="0"/>
        <v>1.8391430465683243</v>
      </c>
      <c r="I48" s="132" t="str">
        <f>Combinée!AB32</f>
        <v/>
      </c>
      <c r="J48" s="284"/>
      <c r="K48" s="285" t="str">
        <f t="shared" si="1"/>
        <v/>
      </c>
      <c r="L48" s="285" t="str">
        <f t="shared" si="2"/>
        <v/>
      </c>
    </row>
    <row r="49" spans="1:12" ht="15" customHeight="1" x14ac:dyDescent="0.3">
      <c r="A49" s="286" t="s">
        <v>158</v>
      </c>
      <c r="B49" s="287">
        <f>Initiale!G16</f>
        <v>94</v>
      </c>
      <c r="C49" s="287">
        <f>Initiale!H16</f>
        <v>96.5</v>
      </c>
      <c r="D49" s="287">
        <f>Optimisée!P21</f>
        <v>96.2</v>
      </c>
      <c r="E49" s="287">
        <f>Simplifiée!E20</f>
        <v>96.057101449275365</v>
      </c>
      <c r="F49" s="287">
        <f>Python!W33</f>
        <v>94.191893709417712</v>
      </c>
      <c r="G49" s="287">
        <f>Combinée!W33</f>
        <v>94.191893709417712</v>
      </c>
      <c r="H49" s="288">
        <f t="shared" si="0"/>
        <v>1.8652077398576523</v>
      </c>
      <c r="I49" s="143" t="str">
        <f>Combinée!AB33</f>
        <v/>
      </c>
      <c r="J49" s="284"/>
      <c r="K49" s="289" t="str">
        <f t="shared" si="1"/>
        <v/>
      </c>
      <c r="L49" s="289" t="str">
        <f t="shared" si="2"/>
        <v/>
      </c>
    </row>
    <row r="50" spans="1:12" ht="16.95" customHeight="1" x14ac:dyDescent="0.3">
      <c r="A50" s="290" t="s">
        <v>414</v>
      </c>
      <c r="B50" s="147">
        <f t="shared" ref="B50:H50" si="3">SUM(B38:B49)</f>
        <v>1117</v>
      </c>
      <c r="C50" s="147">
        <f t="shared" si="3"/>
        <v>1170.8999999999999</v>
      </c>
      <c r="D50" s="147">
        <f t="shared" si="3"/>
        <v>1163.5999999999999</v>
      </c>
      <c r="E50" s="147">
        <f t="shared" si="3"/>
        <v>1157.3189556856082</v>
      </c>
      <c r="F50" s="147">
        <f t="shared" si="3"/>
        <v>1136.3878519671082</v>
      </c>
      <c r="G50" s="147">
        <f t="shared" si="3"/>
        <v>1136.3878519671082</v>
      </c>
      <c r="H50" s="147">
        <f t="shared" si="3"/>
        <v>20.9311037184996</v>
      </c>
      <c r="I50" s="291"/>
      <c r="J50" s="147" t="str">
        <f>IF(COUNT(J38:J49)=0,"— à venir —",SUM(J38:J49))</f>
        <v>— à venir —</v>
      </c>
      <c r="K50" s="291"/>
      <c r="L50" s="291"/>
    </row>
    <row r="51" spans="1:12" ht="16.95" customHeight="1" x14ac:dyDescent="0.3">
      <c r="A51" s="292" t="s">
        <v>415</v>
      </c>
      <c r="K51" s="293" t="str">
        <f>IFERROR(AVERAGE(K38:K49),"— à venir —")</f>
        <v>— à venir —</v>
      </c>
      <c r="L51" s="293" t="str">
        <f>IFERROR(AVERAGE(L38:L49),"— à venir —")</f>
        <v>— à venir —</v>
      </c>
    </row>
    <row r="52" spans="1:12" ht="4.95" customHeight="1" x14ac:dyDescent="0.3">
      <c r="A52" s="48"/>
      <c r="B52" s="48"/>
      <c r="C52" s="48"/>
      <c r="D52" s="48"/>
      <c r="E52" s="48"/>
      <c r="F52" s="48"/>
      <c r="G52" s="48"/>
      <c r="H52" s="48"/>
      <c r="I52" s="48"/>
      <c r="J52" s="48"/>
      <c r="K52" s="48"/>
      <c r="L52" s="48"/>
    </row>
    <row r="53" spans="1:12" ht="16.05" customHeight="1" x14ac:dyDescent="0.3">
      <c r="A53" s="401" t="s">
        <v>416</v>
      </c>
      <c r="B53" s="373"/>
      <c r="C53" s="373"/>
      <c r="D53" s="373"/>
      <c r="E53" s="373"/>
      <c r="F53" s="373"/>
      <c r="G53" s="373"/>
      <c r="H53" s="373"/>
      <c r="I53" s="373"/>
      <c r="J53" s="373"/>
      <c r="K53" s="373"/>
      <c r="L53" s="374"/>
    </row>
    <row r="54" spans="1:12" ht="18" customHeight="1" x14ac:dyDescent="0.3">
      <c r="A54" s="279" t="s">
        <v>2</v>
      </c>
      <c r="B54" s="279" t="s">
        <v>408</v>
      </c>
      <c r="C54" s="279" t="s">
        <v>202</v>
      </c>
      <c r="D54" s="279" t="s">
        <v>353</v>
      </c>
      <c r="E54" s="279" t="s">
        <v>356</v>
      </c>
      <c r="F54" s="279" t="s">
        <v>359</v>
      </c>
      <c r="G54" s="279" t="s">
        <v>362</v>
      </c>
      <c r="H54" s="279" t="s">
        <v>409</v>
      </c>
      <c r="I54" s="279" t="s">
        <v>410</v>
      </c>
      <c r="J54" s="280" t="s">
        <v>411</v>
      </c>
      <c r="K54" s="280" t="s">
        <v>412</v>
      </c>
      <c r="L54" s="280" t="s">
        <v>413</v>
      </c>
    </row>
    <row r="55" spans="1:12" ht="15" customHeight="1" x14ac:dyDescent="0.3">
      <c r="A55" s="286" t="s">
        <v>147</v>
      </c>
      <c r="B55" s="287">
        <f>Initiale!G20</f>
        <v>61</v>
      </c>
      <c r="C55" s="287">
        <f>Initiale!H20</f>
        <v>64.099999999999994</v>
      </c>
      <c r="D55" s="287">
        <f>Optimisée!P28</f>
        <v>63.8</v>
      </c>
      <c r="E55" s="287">
        <f>Simplifiée!E25</f>
        <v>64.206802507836997</v>
      </c>
      <c r="F55" s="287">
        <f>Python!W39</f>
        <v>61.311224489795919</v>
      </c>
      <c r="G55" s="287">
        <f>Combinée!W39</f>
        <v>61.311224489795919</v>
      </c>
      <c r="H55" s="288">
        <f t="shared" ref="H55:H66" si="4">E55-G55</f>
        <v>2.8955780180410784</v>
      </c>
      <c r="I55" s="143" t="str">
        <f>Combinée!AB39</f>
        <v/>
      </c>
      <c r="J55" s="284"/>
      <c r="K55" s="289" t="str">
        <f t="shared" ref="K55:K66" si="5">IFERROR(ABS(E55-J55)/J55,"")</f>
        <v/>
      </c>
      <c r="L55" s="289" t="str">
        <f t="shared" ref="L55:L66" si="6">IFERROR(ABS(G55-J55)/J55,"")</f>
        <v/>
      </c>
    </row>
    <row r="56" spans="1:12" ht="15" customHeight="1" x14ac:dyDescent="0.3">
      <c r="A56" s="281" t="s">
        <v>148</v>
      </c>
      <c r="B56" s="282">
        <f>Initiale!G21</f>
        <v>39</v>
      </c>
      <c r="C56" s="282">
        <f>Initiale!H21</f>
        <v>41.1</v>
      </c>
      <c r="D56" s="282">
        <f>Optimisée!P29</f>
        <v>40.700000000000003</v>
      </c>
      <c r="E56" s="282">
        <f>Simplifiée!E26</f>
        <v>41.1442471042471</v>
      </c>
      <c r="F56" s="282">
        <f>Python!W40</f>
        <v>39.242078386548023</v>
      </c>
      <c r="G56" s="282">
        <f>Combinée!W40</f>
        <v>39.242078386548023</v>
      </c>
      <c r="H56" s="283">
        <f t="shared" si="4"/>
        <v>1.9021687176990767</v>
      </c>
      <c r="I56" s="132" t="str">
        <f>Combinée!AB40</f>
        <v/>
      </c>
      <c r="J56" s="284"/>
      <c r="K56" s="285" t="str">
        <f t="shared" si="5"/>
        <v/>
      </c>
      <c r="L56" s="285" t="str">
        <f t="shared" si="6"/>
        <v/>
      </c>
    </row>
    <row r="57" spans="1:12" ht="15" customHeight="1" x14ac:dyDescent="0.3">
      <c r="A57" s="286" t="s">
        <v>149</v>
      </c>
      <c r="B57" s="287">
        <f>Initiale!G22</f>
        <v>27</v>
      </c>
      <c r="C57" s="287">
        <f>Initiale!H22</f>
        <v>28.2</v>
      </c>
      <c r="D57" s="287">
        <f>Optimisée!P30</f>
        <v>28.5</v>
      </c>
      <c r="E57" s="287">
        <f>Simplifiée!E27</f>
        <v>28.050923076923073</v>
      </c>
      <c r="F57" s="287">
        <f>Python!W41</f>
        <v>27.16759272914863</v>
      </c>
      <c r="G57" s="287">
        <f>Combinée!W41</f>
        <v>27.16759272914863</v>
      </c>
      <c r="H57" s="288">
        <f t="shared" si="4"/>
        <v>0.88333034777444297</v>
      </c>
      <c r="I57" s="143" t="str">
        <f>Combinée!AB41</f>
        <v/>
      </c>
      <c r="J57" s="284"/>
      <c r="K57" s="289" t="str">
        <f t="shared" si="5"/>
        <v/>
      </c>
      <c r="L57" s="289" t="str">
        <f t="shared" si="6"/>
        <v/>
      </c>
    </row>
    <row r="58" spans="1:12" ht="15" customHeight="1" x14ac:dyDescent="0.3">
      <c r="A58" s="281" t="s">
        <v>150</v>
      </c>
      <c r="B58" s="282">
        <f>Initiale!G23</f>
        <v>22</v>
      </c>
      <c r="C58" s="282">
        <f>Initiale!H23</f>
        <v>26.3</v>
      </c>
      <c r="D58" s="282">
        <f>Optimisée!P31</f>
        <v>30</v>
      </c>
      <c r="E58" s="282">
        <f>Simplifiée!E28</f>
        <v>32.932503698108455</v>
      </c>
      <c r="F58" s="282">
        <f>Python!W42</f>
        <v>29.783731288251833</v>
      </c>
      <c r="G58" s="282">
        <f>Combinée!W42</f>
        <v>29.783731288251833</v>
      </c>
      <c r="H58" s="283">
        <f t="shared" si="4"/>
        <v>3.1487724098566225</v>
      </c>
      <c r="I58" s="132" t="str">
        <f>Combinée!AB42</f>
        <v/>
      </c>
      <c r="J58" s="284"/>
      <c r="K58" s="285" t="str">
        <f t="shared" si="5"/>
        <v/>
      </c>
      <c r="L58" s="285" t="str">
        <f t="shared" si="6"/>
        <v/>
      </c>
    </row>
    <row r="59" spans="1:12" ht="15" customHeight="1" x14ac:dyDescent="0.3">
      <c r="A59" s="286" t="s">
        <v>151</v>
      </c>
      <c r="B59" s="287">
        <f>Initiale!G24</f>
        <v>20</v>
      </c>
      <c r="C59" s="287">
        <f>Initiale!H24</f>
        <v>21</v>
      </c>
      <c r="D59" s="287">
        <f>Optimisée!P32</f>
        <v>20.9</v>
      </c>
      <c r="E59" s="287">
        <f>Simplifiée!E29</f>
        <v>21.070175438596493</v>
      </c>
      <c r="F59" s="287">
        <f>Python!W43</f>
        <v>20.124142762332319</v>
      </c>
      <c r="G59" s="287">
        <f>Combinée!W43</f>
        <v>20.124142762332319</v>
      </c>
      <c r="H59" s="288">
        <f t="shared" si="4"/>
        <v>0.9460326762641742</v>
      </c>
      <c r="I59" s="143" t="str">
        <f>Combinée!AB43</f>
        <v/>
      </c>
      <c r="J59" s="284"/>
      <c r="K59" s="289" t="str">
        <f t="shared" si="5"/>
        <v/>
      </c>
      <c r="L59" s="289" t="str">
        <f t="shared" si="6"/>
        <v/>
      </c>
    </row>
    <row r="60" spans="1:12" ht="15" customHeight="1" x14ac:dyDescent="0.3">
      <c r="A60" s="281" t="s">
        <v>152</v>
      </c>
      <c r="B60" s="282">
        <f>Initiale!G25</f>
        <v>17</v>
      </c>
      <c r="C60" s="282">
        <f>Initiale!H25</f>
        <v>19.8</v>
      </c>
      <c r="D60" s="282">
        <f>Optimisée!P33</f>
        <v>19.5</v>
      </c>
      <c r="E60" s="282">
        <f>Simplifiée!E30</f>
        <v>19.892125</v>
      </c>
      <c r="F60" s="282">
        <f>Python!W44</f>
        <v>18.81607348278072</v>
      </c>
      <c r="G60" s="282">
        <f>Combinée!W44</f>
        <v>18.81607348278072</v>
      </c>
      <c r="H60" s="283">
        <f t="shared" si="4"/>
        <v>1.0760515172192804</v>
      </c>
      <c r="I60" s="132" t="str">
        <f>Combinée!AB44</f>
        <v/>
      </c>
      <c r="J60" s="284"/>
      <c r="K60" s="285" t="str">
        <f t="shared" si="5"/>
        <v/>
      </c>
      <c r="L60" s="285" t="str">
        <f t="shared" si="6"/>
        <v/>
      </c>
    </row>
    <row r="61" spans="1:12" ht="15" customHeight="1" x14ac:dyDescent="0.3">
      <c r="A61" s="286" t="s">
        <v>153</v>
      </c>
      <c r="B61" s="287">
        <f>Initiale!G26</f>
        <v>17</v>
      </c>
      <c r="C61" s="287">
        <f>Initiale!H26</f>
        <v>18</v>
      </c>
      <c r="D61" s="287">
        <f>Optimisée!P34</f>
        <v>17.7</v>
      </c>
      <c r="E61" s="287">
        <f>Simplifiée!E31</f>
        <v>18.083749999999998</v>
      </c>
      <c r="F61" s="287">
        <f>Python!W45</f>
        <v>17.105521347982471</v>
      </c>
      <c r="G61" s="287">
        <f>Combinée!W45</f>
        <v>17.105521347982471</v>
      </c>
      <c r="H61" s="288">
        <f t="shared" si="4"/>
        <v>0.97822865201752762</v>
      </c>
      <c r="I61" s="143" t="str">
        <f>Combinée!AB45</f>
        <v/>
      </c>
      <c r="J61" s="284"/>
      <c r="K61" s="289" t="str">
        <f t="shared" si="5"/>
        <v/>
      </c>
      <c r="L61" s="289" t="str">
        <f t="shared" si="6"/>
        <v/>
      </c>
    </row>
    <row r="62" spans="1:12" ht="15" customHeight="1" x14ac:dyDescent="0.3">
      <c r="A62" s="281" t="s">
        <v>154</v>
      </c>
      <c r="B62" s="282">
        <f>Initiale!G27</f>
        <v>22</v>
      </c>
      <c r="C62" s="282">
        <f>Initiale!H27</f>
        <v>23.1</v>
      </c>
      <c r="D62" s="282">
        <f>Optimisée!P35</f>
        <v>23.1</v>
      </c>
      <c r="E62" s="282">
        <f>Simplifiée!E32</f>
        <v>23.063333333333333</v>
      </c>
      <c r="F62" s="282">
        <f>Python!W46</f>
        <v>22.136557038565552</v>
      </c>
      <c r="G62" s="282">
        <f>Combinée!W46</f>
        <v>22.136557038565552</v>
      </c>
      <c r="H62" s="283">
        <f t="shared" si="4"/>
        <v>0.92677629476778023</v>
      </c>
      <c r="I62" s="132" t="str">
        <f>Combinée!AB46</f>
        <v/>
      </c>
      <c r="J62" s="284"/>
      <c r="K62" s="285" t="str">
        <f t="shared" si="5"/>
        <v/>
      </c>
      <c r="L62" s="285" t="str">
        <f t="shared" si="6"/>
        <v/>
      </c>
    </row>
    <row r="63" spans="1:12" ht="15" customHeight="1" x14ac:dyDescent="0.3">
      <c r="A63" s="286" t="s">
        <v>155</v>
      </c>
      <c r="B63" s="287">
        <f>Initiale!G28</f>
        <v>50</v>
      </c>
      <c r="C63" s="287">
        <f>Initiale!H28</f>
        <v>52.5</v>
      </c>
      <c r="D63" s="287">
        <f>Optimisée!P36</f>
        <v>52.1</v>
      </c>
      <c r="E63" s="287">
        <f>Simplifiée!E33</f>
        <v>52.900709219858157</v>
      </c>
      <c r="F63" s="287">
        <f>Python!W47</f>
        <v>50.310356905830801</v>
      </c>
      <c r="G63" s="287">
        <f>Combinée!W47</f>
        <v>50.310356905830801</v>
      </c>
      <c r="H63" s="288">
        <f t="shared" si="4"/>
        <v>2.5903523140273563</v>
      </c>
      <c r="I63" s="143" t="str">
        <f>Combinée!AB47</f>
        <v/>
      </c>
      <c r="J63" s="284"/>
      <c r="K63" s="289" t="str">
        <f t="shared" si="5"/>
        <v/>
      </c>
      <c r="L63" s="289" t="str">
        <f t="shared" si="6"/>
        <v/>
      </c>
    </row>
    <row r="64" spans="1:12" ht="15" customHeight="1" x14ac:dyDescent="0.3">
      <c r="A64" s="281" t="s">
        <v>156</v>
      </c>
      <c r="B64" s="282">
        <f>Initiale!G29</f>
        <v>122</v>
      </c>
      <c r="C64" s="282">
        <f>Initiale!H29</f>
        <v>128.30000000000001</v>
      </c>
      <c r="D64" s="282">
        <f>Optimisée!P37</f>
        <v>127.7</v>
      </c>
      <c r="E64" s="282">
        <f>Simplifiée!E34</f>
        <v>128.41360501567399</v>
      </c>
      <c r="F64" s="282">
        <f>Python!W48</f>
        <v>122.58101350809685</v>
      </c>
      <c r="G64" s="282">
        <f>Combinée!W48</f>
        <v>122.58101350809685</v>
      </c>
      <c r="H64" s="283">
        <f t="shared" si="4"/>
        <v>5.8325915075771491</v>
      </c>
      <c r="I64" s="132" t="str">
        <f>Combinée!AB48</f>
        <v/>
      </c>
      <c r="J64" s="284"/>
      <c r="K64" s="285" t="str">
        <f t="shared" si="5"/>
        <v/>
      </c>
      <c r="L64" s="285" t="str">
        <f t="shared" si="6"/>
        <v/>
      </c>
    </row>
    <row r="65" spans="1:12" ht="15" customHeight="1" x14ac:dyDescent="0.3">
      <c r="A65" s="286" t="s">
        <v>157</v>
      </c>
      <c r="B65" s="287">
        <f>Initiale!G30</f>
        <v>243</v>
      </c>
      <c r="C65" s="287">
        <f>Initiale!H30</f>
        <v>306.3</v>
      </c>
      <c r="D65" s="287">
        <f>Optimisée!P38</f>
        <v>305.39999999999998</v>
      </c>
      <c r="E65" s="287">
        <f>Simplifiée!E35</f>
        <v>306.57763636363632</v>
      </c>
      <c r="F65" s="287">
        <f>Python!W49</f>
        <v>292.98871753246755</v>
      </c>
      <c r="G65" s="287">
        <f>Combinée!W49</f>
        <v>292.98871753246755</v>
      </c>
      <c r="H65" s="288">
        <f t="shared" si="4"/>
        <v>13.588918831168769</v>
      </c>
      <c r="I65" s="143" t="str">
        <f>Combinée!AB49</f>
        <v/>
      </c>
      <c r="J65" s="284"/>
      <c r="K65" s="289" t="str">
        <f t="shared" si="5"/>
        <v/>
      </c>
      <c r="L65" s="289" t="str">
        <f t="shared" si="6"/>
        <v/>
      </c>
    </row>
    <row r="66" spans="1:12" ht="15" customHeight="1" x14ac:dyDescent="0.3">
      <c r="A66" s="281" t="s">
        <v>158</v>
      </c>
      <c r="B66" s="282">
        <f>Initiale!G31</f>
        <v>309</v>
      </c>
      <c r="C66" s="282">
        <f>Initiale!H31</f>
        <v>324.5</v>
      </c>
      <c r="D66" s="282">
        <f>Optimisée!P39</f>
        <v>323.7</v>
      </c>
      <c r="E66" s="282">
        <f>Simplifiée!E36</f>
        <v>324.67071428571427</v>
      </c>
      <c r="F66" s="282">
        <f>Python!W50</f>
        <v>310.47158339345839</v>
      </c>
      <c r="G66" s="282">
        <f>Combinée!W50</f>
        <v>310.47158339345839</v>
      </c>
      <c r="H66" s="283">
        <f t="shared" si="4"/>
        <v>14.19913089225588</v>
      </c>
      <c r="I66" s="132" t="str">
        <f>Combinée!AB50</f>
        <v/>
      </c>
      <c r="J66" s="284"/>
      <c r="K66" s="285" t="str">
        <f t="shared" si="5"/>
        <v/>
      </c>
      <c r="L66" s="285" t="str">
        <f t="shared" si="6"/>
        <v/>
      </c>
    </row>
    <row r="67" spans="1:12" ht="16.95" customHeight="1" x14ac:dyDescent="0.3">
      <c r="A67" s="290" t="s">
        <v>414</v>
      </c>
      <c r="B67" s="147">
        <f t="shared" ref="B67:H67" si="7">SUM(B55:B66)</f>
        <v>949</v>
      </c>
      <c r="C67" s="147">
        <f t="shared" si="7"/>
        <v>1053.2</v>
      </c>
      <c r="D67" s="147">
        <f t="shared" si="7"/>
        <v>1053.0999999999999</v>
      </c>
      <c r="E67" s="147">
        <f t="shared" si="7"/>
        <v>1061.0065250439281</v>
      </c>
      <c r="F67" s="147">
        <f t="shared" si="7"/>
        <v>1012.038592865259</v>
      </c>
      <c r="G67" s="147">
        <f t="shared" si="7"/>
        <v>1012.038592865259</v>
      </c>
      <c r="H67" s="147">
        <f t="shared" si="7"/>
        <v>48.967932178669137</v>
      </c>
      <c r="I67" s="291"/>
      <c r="J67" s="147" t="str">
        <f>IF(COUNT(J55:J66)=0,"— à venir —",SUM(J55:J66))</f>
        <v>— à venir —</v>
      </c>
      <c r="K67" s="291"/>
      <c r="L67" s="291"/>
    </row>
    <row r="68" spans="1:12" ht="16.95" customHeight="1" x14ac:dyDescent="0.3">
      <c r="A68" s="292" t="s">
        <v>415</v>
      </c>
      <c r="K68" s="293" t="str">
        <f>IFERROR(AVERAGE(K55:K66),"— à venir —")</f>
        <v>— à venir —</v>
      </c>
      <c r="L68" s="293" t="str">
        <f>IFERROR(AVERAGE(L55:L66),"— à venir —")</f>
        <v>— à venir —</v>
      </c>
    </row>
    <row r="69" spans="1:12" ht="4.95" customHeight="1" x14ac:dyDescent="0.3">
      <c r="A69" s="48"/>
      <c r="B69" s="48"/>
      <c r="C69" s="48"/>
      <c r="D69" s="48"/>
      <c r="E69" s="48"/>
      <c r="F69" s="48"/>
      <c r="G69" s="48"/>
      <c r="H69" s="48"/>
      <c r="I69" s="48"/>
      <c r="J69" s="48"/>
      <c r="K69" s="48"/>
      <c r="L69" s="48"/>
    </row>
    <row r="70" spans="1:12" ht="16.05" customHeight="1" x14ac:dyDescent="0.3">
      <c r="A70" s="404" t="s">
        <v>417</v>
      </c>
      <c r="B70" s="373"/>
      <c r="C70" s="373"/>
      <c r="D70" s="373"/>
      <c r="E70" s="373"/>
      <c r="F70" s="373"/>
      <c r="G70" s="373"/>
      <c r="H70" s="373"/>
      <c r="I70" s="373"/>
      <c r="J70" s="373"/>
      <c r="K70" s="373"/>
      <c r="L70" s="374"/>
    </row>
    <row r="71" spans="1:12" ht="13.05" customHeight="1" x14ac:dyDescent="0.3">
      <c r="A71" s="444" t="s">
        <v>418</v>
      </c>
      <c r="B71" s="373"/>
      <c r="C71" s="373"/>
      <c r="D71" s="373"/>
      <c r="E71" s="373"/>
      <c r="F71" s="373"/>
      <c r="G71" s="373"/>
      <c r="H71" s="373"/>
      <c r="I71" s="373"/>
      <c r="J71" s="373"/>
      <c r="K71" s="373"/>
      <c r="L71" s="374"/>
    </row>
    <row r="72" spans="1:12" ht="18" customHeight="1" x14ac:dyDescent="0.3">
      <c r="A72" s="103" t="s">
        <v>2</v>
      </c>
      <c r="B72" s="103" t="s">
        <v>359</v>
      </c>
      <c r="C72" s="103" t="s">
        <v>362</v>
      </c>
      <c r="D72" s="103" t="s">
        <v>419</v>
      </c>
      <c r="E72" s="103" t="s">
        <v>420</v>
      </c>
    </row>
    <row r="73" spans="1:12" ht="15" customHeight="1" x14ac:dyDescent="0.3">
      <c r="A73" s="286" t="s">
        <v>147</v>
      </c>
      <c r="B73" s="287">
        <f>Python!W56</f>
        <v>132.48286268994826</v>
      </c>
      <c r="C73" s="287">
        <f>Combinée!W56</f>
        <v>132.48286268994826</v>
      </c>
      <c r="D73" s="288">
        <f t="shared" ref="D73:D84" si="8">B73-C73</f>
        <v>0</v>
      </c>
      <c r="E73" s="294" t="str">
        <f>Combinée!U56</f>
        <v>H2</v>
      </c>
    </row>
    <row r="74" spans="1:12" ht="15" customHeight="1" x14ac:dyDescent="0.3">
      <c r="A74" s="281" t="s">
        <v>148</v>
      </c>
      <c r="B74" s="282">
        <f>Python!W57</f>
        <v>134.50550181498565</v>
      </c>
      <c r="C74" s="282">
        <f>Combinée!W57</f>
        <v>134.50550181498565</v>
      </c>
      <c r="D74" s="283">
        <f t="shared" si="8"/>
        <v>0</v>
      </c>
      <c r="E74" s="295" t="str">
        <f>Combinée!U57</f>
        <v>H2</v>
      </c>
    </row>
    <row r="75" spans="1:12" ht="15" customHeight="1" x14ac:dyDescent="0.3">
      <c r="A75" s="286" t="s">
        <v>149</v>
      </c>
      <c r="B75" s="287">
        <f>Python!W58</f>
        <v>137.53946050254171</v>
      </c>
      <c r="C75" s="287">
        <f>Combinée!W58</f>
        <v>137.53946050254171</v>
      </c>
      <c r="D75" s="288">
        <f t="shared" si="8"/>
        <v>0</v>
      </c>
      <c r="E75" s="294" t="str">
        <f>Combinée!U58</f>
        <v>H2</v>
      </c>
    </row>
    <row r="76" spans="1:12" ht="15" customHeight="1" x14ac:dyDescent="0.3">
      <c r="A76" s="281" t="s">
        <v>150</v>
      </c>
      <c r="B76" s="282">
        <f>Python!W59</f>
        <v>140.57341919009778</v>
      </c>
      <c r="C76" s="282">
        <f>Combinée!W59</f>
        <v>140.57341919009778</v>
      </c>
      <c r="D76" s="283">
        <f t="shared" si="8"/>
        <v>0</v>
      </c>
      <c r="E76" s="295" t="str">
        <f>Combinée!U59</f>
        <v>H2</v>
      </c>
    </row>
    <row r="77" spans="1:12" ht="15" customHeight="1" x14ac:dyDescent="0.3">
      <c r="A77" s="286" t="s">
        <v>151</v>
      </c>
      <c r="B77" s="287">
        <f>Python!W60</f>
        <v>136.52814094002301</v>
      </c>
      <c r="C77" s="287">
        <f>Combinée!W60</f>
        <v>136.52814094002301</v>
      </c>
      <c r="D77" s="288">
        <f t="shared" si="8"/>
        <v>0</v>
      </c>
      <c r="E77" s="294" t="str">
        <f>Combinée!U60</f>
        <v>H2</v>
      </c>
    </row>
    <row r="78" spans="1:12" ht="15" customHeight="1" x14ac:dyDescent="0.3">
      <c r="A78" s="281" t="s">
        <v>152</v>
      </c>
      <c r="B78" s="282">
        <f>Python!W61</f>
        <v>133.49418225246694</v>
      </c>
      <c r="C78" s="282">
        <f>Combinée!W61</f>
        <v>133.49418225246694</v>
      </c>
      <c r="D78" s="283">
        <f t="shared" si="8"/>
        <v>0</v>
      </c>
      <c r="E78" s="295" t="str">
        <f>Combinée!U61</f>
        <v>H2</v>
      </c>
    </row>
    <row r="79" spans="1:12" ht="15" customHeight="1" x14ac:dyDescent="0.3">
      <c r="A79" s="286" t="s">
        <v>153</v>
      </c>
      <c r="B79" s="287">
        <f>Python!W62</f>
        <v>139.5620996275791</v>
      </c>
      <c r="C79" s="287">
        <f>Combinée!W62</f>
        <v>139.5620996275791</v>
      </c>
      <c r="D79" s="288">
        <f t="shared" si="8"/>
        <v>0</v>
      </c>
      <c r="E79" s="294" t="str">
        <f>Combinée!U62</f>
        <v>H2</v>
      </c>
    </row>
    <row r="80" spans="1:12" ht="15" customHeight="1" x14ac:dyDescent="0.3">
      <c r="A80" s="281" t="s">
        <v>154</v>
      </c>
      <c r="B80" s="282">
        <f>Python!W63</f>
        <v>141.58473875261646</v>
      </c>
      <c r="C80" s="282">
        <f>Combinée!W63</f>
        <v>141.58473875261646</v>
      </c>
      <c r="D80" s="283">
        <f t="shared" si="8"/>
        <v>0</v>
      </c>
      <c r="E80" s="295" t="str">
        <f>Combinée!U63</f>
        <v>H2</v>
      </c>
    </row>
    <row r="81" spans="1:12" ht="15" customHeight="1" x14ac:dyDescent="0.3">
      <c r="A81" s="286" t="s">
        <v>155</v>
      </c>
      <c r="B81" s="287">
        <f>Python!W64</f>
        <v>134.50550181498565</v>
      </c>
      <c r="C81" s="287">
        <f>Combinée!W64</f>
        <v>134.50550181498565</v>
      </c>
      <c r="D81" s="288">
        <f t="shared" si="8"/>
        <v>0</v>
      </c>
      <c r="E81" s="294" t="str">
        <f>Combinée!U64</f>
        <v>H2</v>
      </c>
    </row>
    <row r="82" spans="1:12" ht="15" customHeight="1" x14ac:dyDescent="0.3">
      <c r="A82" s="281" t="s">
        <v>156</v>
      </c>
      <c r="B82" s="282">
        <f>Python!W65</f>
        <v>137.53946050254171</v>
      </c>
      <c r="C82" s="282">
        <f>Combinée!W65</f>
        <v>137.53946050254171</v>
      </c>
      <c r="D82" s="283">
        <f t="shared" si="8"/>
        <v>0</v>
      </c>
      <c r="E82" s="295" t="str">
        <f>Combinée!U65</f>
        <v>H2</v>
      </c>
    </row>
    <row r="83" spans="1:12" ht="15" customHeight="1" x14ac:dyDescent="0.3">
      <c r="A83" s="286" t="s">
        <v>157</v>
      </c>
      <c r="B83" s="287">
        <f>Python!W66</f>
        <v>133.49418225246694</v>
      </c>
      <c r="C83" s="287">
        <f>Combinée!W66</f>
        <v>133.49418225246694</v>
      </c>
      <c r="D83" s="288">
        <f t="shared" si="8"/>
        <v>0</v>
      </c>
      <c r="E83" s="294" t="str">
        <f>Combinée!U66</f>
        <v>H2</v>
      </c>
    </row>
    <row r="84" spans="1:12" ht="15" customHeight="1" x14ac:dyDescent="0.3">
      <c r="A84" s="281" t="s">
        <v>158</v>
      </c>
      <c r="B84" s="282">
        <f>Python!W67</f>
        <v>136.52814094002301</v>
      </c>
      <c r="C84" s="282">
        <f>Combinée!W67</f>
        <v>136.52814094002301</v>
      </c>
      <c r="D84" s="283">
        <f t="shared" si="8"/>
        <v>0</v>
      </c>
      <c r="E84" s="295" t="str">
        <f>Combinée!U67</f>
        <v>H2</v>
      </c>
    </row>
    <row r="85" spans="1:12" ht="4.95" customHeight="1" x14ac:dyDescent="0.3">
      <c r="A85" s="48"/>
      <c r="B85" s="48"/>
      <c r="C85" s="48"/>
      <c r="D85" s="48"/>
      <c r="E85" s="48"/>
      <c r="F85" s="48"/>
      <c r="G85" s="48"/>
      <c r="H85" s="48"/>
      <c r="I85" s="48"/>
      <c r="J85" s="48"/>
      <c r="K85" s="48"/>
      <c r="L85" s="48"/>
    </row>
    <row r="86" spans="1:12" ht="16.05" customHeight="1" x14ac:dyDescent="0.3">
      <c r="A86" s="402" t="s">
        <v>421</v>
      </c>
      <c r="B86" s="373"/>
      <c r="C86" s="373"/>
      <c r="D86" s="373"/>
      <c r="E86" s="373"/>
      <c r="F86" s="373"/>
      <c r="G86" s="373"/>
      <c r="H86" s="373"/>
      <c r="I86" s="373"/>
      <c r="J86" s="373"/>
      <c r="K86" s="373"/>
      <c r="L86" s="374"/>
    </row>
    <row r="87" spans="1:12" ht="13.05" customHeight="1" x14ac:dyDescent="0.3">
      <c r="A87" s="435" t="s">
        <v>418</v>
      </c>
      <c r="B87" s="373"/>
      <c r="C87" s="373"/>
      <c r="D87" s="373"/>
      <c r="E87" s="373"/>
      <c r="F87" s="373"/>
      <c r="G87" s="373"/>
      <c r="H87" s="373"/>
      <c r="I87" s="373"/>
      <c r="J87" s="373"/>
      <c r="K87" s="373"/>
      <c r="L87" s="374"/>
    </row>
    <row r="88" spans="1:12" ht="18" customHeight="1" x14ac:dyDescent="0.3">
      <c r="A88" s="103" t="s">
        <v>2</v>
      </c>
      <c r="B88" s="103" t="s">
        <v>359</v>
      </c>
      <c r="C88" s="103" t="s">
        <v>362</v>
      </c>
      <c r="D88" s="103" t="s">
        <v>419</v>
      </c>
      <c r="E88" s="103" t="s">
        <v>420</v>
      </c>
    </row>
    <row r="89" spans="1:12" ht="15" customHeight="1" x14ac:dyDescent="0.3">
      <c r="A89" s="286" t="s">
        <v>147</v>
      </c>
      <c r="B89" s="287">
        <f>Python!W73</f>
        <v>118.87238270919106</v>
      </c>
      <c r="C89" s="287">
        <f>Combinée!W73</f>
        <v>118.87238270919106</v>
      </c>
      <c r="D89" s="288">
        <f t="shared" ref="D89:D100" si="9">B89-C89</f>
        <v>0</v>
      </c>
      <c r="E89" s="296" t="str">
        <f>Combinée!U73</f>
        <v>H3</v>
      </c>
    </row>
    <row r="90" spans="1:12" ht="15" customHeight="1" x14ac:dyDescent="0.3">
      <c r="A90" s="281" t="s">
        <v>148</v>
      </c>
      <c r="B90" s="282">
        <f>Python!W74</f>
        <v>120.88716885680446</v>
      </c>
      <c r="C90" s="282">
        <f>Combinée!W74</f>
        <v>120.88716885680446</v>
      </c>
      <c r="D90" s="283">
        <f t="shared" si="9"/>
        <v>0</v>
      </c>
      <c r="E90" s="297" t="str">
        <f>Combinée!U74</f>
        <v>H3</v>
      </c>
    </row>
    <row r="91" spans="1:12" ht="15" customHeight="1" x14ac:dyDescent="0.3">
      <c r="A91" s="286" t="s">
        <v>149</v>
      </c>
      <c r="B91" s="287">
        <f>Python!W75</f>
        <v>123.90934807822457</v>
      </c>
      <c r="C91" s="287">
        <f>Combinée!W75</f>
        <v>123.90934807822457</v>
      </c>
      <c r="D91" s="288">
        <f t="shared" si="9"/>
        <v>0</v>
      </c>
      <c r="E91" s="296" t="str">
        <f>Combinée!U75</f>
        <v>H3</v>
      </c>
    </row>
    <row r="92" spans="1:12" ht="15" customHeight="1" x14ac:dyDescent="0.3">
      <c r="A92" s="281" t="s">
        <v>150</v>
      </c>
      <c r="B92" s="282">
        <f>Python!W76</f>
        <v>125.92413422583797</v>
      </c>
      <c r="C92" s="282">
        <f>Combinée!W76</f>
        <v>125.92413422583797</v>
      </c>
      <c r="D92" s="283">
        <f t="shared" si="9"/>
        <v>0</v>
      </c>
      <c r="E92" s="297" t="str">
        <f>Combinée!U76</f>
        <v>H3</v>
      </c>
    </row>
    <row r="93" spans="1:12" ht="15" customHeight="1" x14ac:dyDescent="0.3">
      <c r="A93" s="286" t="s">
        <v>151</v>
      </c>
      <c r="B93" s="287">
        <f>Python!W77</f>
        <v>122.90195500441787</v>
      </c>
      <c r="C93" s="287">
        <f>Combinée!W77</f>
        <v>122.90195500441787</v>
      </c>
      <c r="D93" s="288">
        <f t="shared" si="9"/>
        <v>0</v>
      </c>
      <c r="E93" s="296" t="str">
        <f>Combinée!U77</f>
        <v>H3</v>
      </c>
    </row>
    <row r="94" spans="1:12" ht="15" customHeight="1" x14ac:dyDescent="0.3">
      <c r="A94" s="281" t="s">
        <v>152</v>
      </c>
      <c r="B94" s="282">
        <f>Python!W78</f>
        <v>119.87977578299775</v>
      </c>
      <c r="C94" s="282">
        <f>Combinée!W78</f>
        <v>119.87977578299775</v>
      </c>
      <c r="D94" s="283">
        <f t="shared" si="9"/>
        <v>0</v>
      </c>
      <c r="E94" s="297" t="str">
        <f>Combinée!U78</f>
        <v>H3</v>
      </c>
    </row>
    <row r="95" spans="1:12" ht="15" customHeight="1" x14ac:dyDescent="0.3">
      <c r="A95" s="286" t="s">
        <v>153</v>
      </c>
      <c r="B95" s="287">
        <f>Python!W79</f>
        <v>124.91674115203128</v>
      </c>
      <c r="C95" s="287">
        <f>Combinée!W79</f>
        <v>124.91674115203128</v>
      </c>
      <c r="D95" s="288">
        <f t="shared" si="9"/>
        <v>0</v>
      </c>
      <c r="E95" s="296" t="str">
        <f>Combinée!U79</f>
        <v>H3</v>
      </c>
    </row>
    <row r="96" spans="1:12" ht="15" customHeight="1" x14ac:dyDescent="0.3">
      <c r="A96" s="281" t="s">
        <v>154</v>
      </c>
      <c r="B96" s="282">
        <f>Python!W80</f>
        <v>126.93152729964469</v>
      </c>
      <c r="C96" s="282">
        <f>Combinée!W80</f>
        <v>126.93152729964469</v>
      </c>
      <c r="D96" s="283">
        <f t="shared" si="9"/>
        <v>0</v>
      </c>
      <c r="E96" s="297" t="str">
        <f>Combinée!U80</f>
        <v>H3</v>
      </c>
    </row>
    <row r="97" spans="1:12" ht="15" customHeight="1" x14ac:dyDescent="0.3">
      <c r="A97" s="286" t="s">
        <v>155</v>
      </c>
      <c r="B97" s="287">
        <f>Python!W81</f>
        <v>120.88716885680446</v>
      </c>
      <c r="C97" s="287">
        <f>Combinée!W81</f>
        <v>120.88716885680446</v>
      </c>
      <c r="D97" s="288">
        <f t="shared" si="9"/>
        <v>0</v>
      </c>
      <c r="E97" s="296" t="str">
        <f>Combinée!U81</f>
        <v>H3</v>
      </c>
    </row>
    <row r="98" spans="1:12" ht="15" customHeight="1" x14ac:dyDescent="0.3">
      <c r="A98" s="281" t="s">
        <v>156</v>
      </c>
      <c r="B98" s="282">
        <f>Python!W82</f>
        <v>141.03503033293853</v>
      </c>
      <c r="C98" s="282">
        <f>Combinée!W82</f>
        <v>141.03503033293853</v>
      </c>
      <c r="D98" s="283">
        <f t="shared" si="9"/>
        <v>0</v>
      </c>
      <c r="E98" s="297" t="str">
        <f>Combinée!U82</f>
        <v>H3</v>
      </c>
    </row>
    <row r="99" spans="1:12" ht="15" customHeight="1" x14ac:dyDescent="0.3">
      <c r="A99" s="286" t="s">
        <v>157</v>
      </c>
      <c r="B99" s="287">
        <f>Python!W83</f>
        <v>137.00545803771172</v>
      </c>
      <c r="C99" s="287">
        <f>Combinée!W83</f>
        <v>137.00545803771172</v>
      </c>
      <c r="D99" s="288">
        <f t="shared" si="9"/>
        <v>0</v>
      </c>
      <c r="E99" s="296" t="str">
        <f>Combinée!U83</f>
        <v>H3</v>
      </c>
    </row>
    <row r="100" spans="1:12" ht="15" customHeight="1" x14ac:dyDescent="0.3">
      <c r="A100" s="281" t="s">
        <v>158</v>
      </c>
      <c r="B100" s="282">
        <f>Python!W84</f>
        <v>140.02763725913184</v>
      </c>
      <c r="C100" s="282">
        <f>Combinée!W84</f>
        <v>140.02763725913184</v>
      </c>
      <c r="D100" s="283">
        <f t="shared" si="9"/>
        <v>0</v>
      </c>
      <c r="E100" s="297" t="str">
        <f>Combinée!U84</f>
        <v>H3</v>
      </c>
    </row>
    <row r="101" spans="1:12" ht="4.95" customHeight="1" x14ac:dyDescent="0.3">
      <c r="A101" s="48"/>
      <c r="B101" s="48"/>
      <c r="C101" s="48"/>
      <c r="D101" s="48"/>
      <c r="E101" s="48"/>
      <c r="F101" s="48"/>
      <c r="G101" s="48"/>
      <c r="H101" s="48"/>
      <c r="I101" s="48"/>
      <c r="J101" s="48"/>
      <c r="K101" s="48"/>
      <c r="L101" s="48"/>
    </row>
    <row r="102" spans="1:12" ht="19.95" customHeight="1" x14ac:dyDescent="0.3">
      <c r="A102" s="424" t="s">
        <v>422</v>
      </c>
      <c r="B102" s="373"/>
      <c r="C102" s="373"/>
      <c r="D102" s="373"/>
      <c r="E102" s="373"/>
      <c r="F102" s="373"/>
      <c r="G102" s="373"/>
      <c r="H102" s="373"/>
      <c r="I102" s="374"/>
    </row>
    <row r="103" spans="1:12" ht="13.05" customHeight="1" x14ac:dyDescent="0.3">
      <c r="A103" s="452" t="s">
        <v>423</v>
      </c>
      <c r="B103" s="373"/>
      <c r="C103" s="373"/>
      <c r="D103" s="373"/>
      <c r="E103" s="373"/>
      <c r="F103" s="373"/>
      <c r="G103" s="373"/>
      <c r="H103" s="373"/>
      <c r="I103" s="374"/>
    </row>
    <row r="104" spans="1:12" ht="18" customHeight="1" x14ac:dyDescent="0.3">
      <c r="A104" s="167" t="s">
        <v>344</v>
      </c>
      <c r="B104" s="167" t="s">
        <v>424</v>
      </c>
      <c r="C104" s="167" t="s">
        <v>425</v>
      </c>
      <c r="D104" s="404" t="s">
        <v>426</v>
      </c>
      <c r="E104" s="373"/>
      <c r="F104" s="373"/>
      <c r="G104" s="373"/>
      <c r="H104" s="373"/>
      <c r="I104" s="374"/>
    </row>
    <row r="105" spans="1:12" ht="19.95" customHeight="1" x14ac:dyDescent="0.3">
      <c r="A105" s="298" t="s">
        <v>427</v>
      </c>
      <c r="B105" s="299" t="s">
        <v>379</v>
      </c>
      <c r="C105" s="299" t="s">
        <v>380</v>
      </c>
      <c r="D105" s="430" t="s">
        <v>428</v>
      </c>
      <c r="E105" s="373"/>
      <c r="F105" s="373"/>
      <c r="G105" s="373"/>
      <c r="H105" s="373"/>
      <c r="I105" s="374"/>
    </row>
    <row r="106" spans="1:12" ht="19.95" customHeight="1" x14ac:dyDescent="0.3">
      <c r="A106" s="300" t="s">
        <v>350</v>
      </c>
      <c r="B106" s="301">
        <f>Initiale!B45</f>
        <v>4.9559027102702602E-2</v>
      </c>
      <c r="C106" s="301">
        <f>Initiale!B48</f>
        <v>0.22333993646816763</v>
      </c>
      <c r="D106" s="445" t="s">
        <v>429</v>
      </c>
      <c r="E106" s="373"/>
      <c r="F106" s="373"/>
      <c r="G106" s="373"/>
      <c r="H106" s="373"/>
      <c r="I106" s="374"/>
    </row>
    <row r="107" spans="1:12" ht="19.95" customHeight="1" x14ac:dyDescent="0.3">
      <c r="A107" s="298" t="s">
        <v>353</v>
      </c>
      <c r="B107" s="302">
        <f>Optimisée!B52</f>
        <v>1.5618207976698257E-2</v>
      </c>
      <c r="C107" s="302">
        <f>Optimisée!B55</f>
        <v>3.7546570169164771E-3</v>
      </c>
      <c r="D107" s="430" t="s">
        <v>430</v>
      </c>
      <c r="E107" s="373"/>
      <c r="F107" s="373"/>
      <c r="G107" s="373"/>
      <c r="H107" s="373"/>
      <c r="I107" s="374"/>
    </row>
    <row r="108" spans="1:12" ht="19.95" customHeight="1" x14ac:dyDescent="0.3">
      <c r="A108" s="303" t="s">
        <v>356</v>
      </c>
      <c r="B108" s="304">
        <f>Simplifiée!B22</f>
        <v>1.4199073398998924E-2</v>
      </c>
      <c r="C108" s="304">
        <f>Simplifiée!B38</f>
        <v>4.6377903763156576E-3</v>
      </c>
      <c r="D108" s="434" t="s">
        <v>431</v>
      </c>
      <c r="E108" s="373"/>
      <c r="F108" s="373"/>
      <c r="G108" s="373"/>
      <c r="H108" s="373"/>
      <c r="I108" s="374"/>
    </row>
    <row r="109" spans="1:12" ht="19.95" customHeight="1" x14ac:dyDescent="0.3">
      <c r="A109" s="305" t="s">
        <v>359</v>
      </c>
      <c r="B109" s="306">
        <f>Python!B36</f>
        <v>1.4199073398998924E-2</v>
      </c>
      <c r="C109" s="306">
        <f>Python!B53</f>
        <v>4.6377903763156576E-3</v>
      </c>
      <c r="D109" s="433" t="s">
        <v>432</v>
      </c>
      <c r="E109" s="373"/>
      <c r="F109" s="373"/>
      <c r="G109" s="373"/>
      <c r="H109" s="373"/>
      <c r="I109" s="374"/>
    </row>
    <row r="110" spans="1:12" ht="19.95" customHeight="1" x14ac:dyDescent="0.3">
      <c r="A110" s="307" t="s">
        <v>362</v>
      </c>
      <c r="B110" s="308">
        <f>Combinée!B36</f>
        <v>1.4199073398998924E-2</v>
      </c>
      <c r="C110" s="308">
        <f>Combinée!B53</f>
        <v>4.6377903763156576E-3</v>
      </c>
      <c r="D110" s="438" t="s">
        <v>433</v>
      </c>
      <c r="E110" s="373"/>
      <c r="F110" s="373"/>
      <c r="G110" s="373"/>
      <c r="H110" s="373"/>
      <c r="I110" s="374"/>
    </row>
    <row r="111" spans="1:12" ht="19.95" customHeight="1" x14ac:dyDescent="0.3">
      <c r="A111" s="305" t="s">
        <v>434</v>
      </c>
      <c r="B111" s="306">
        <f>Python!B70</f>
        <v>3.5427689240948167E-3</v>
      </c>
      <c r="C111" s="306">
        <f>Combinée!B70</f>
        <v>3.5427689240948167E-3</v>
      </c>
      <c r="D111" s="433" t="s">
        <v>435</v>
      </c>
      <c r="E111" s="373"/>
      <c r="F111" s="373"/>
      <c r="G111" s="373"/>
      <c r="H111" s="373"/>
      <c r="I111" s="374"/>
    </row>
    <row r="112" spans="1:12" ht="19.95" customHeight="1" x14ac:dyDescent="0.3">
      <c r="A112" s="309" t="s">
        <v>436</v>
      </c>
      <c r="B112" s="310">
        <f>Python!B87</f>
        <v>3.4039473331618345E-2</v>
      </c>
      <c r="C112" s="310">
        <f>Combinée!B87</f>
        <v>3.4039473331618345E-2</v>
      </c>
      <c r="D112" s="442" t="s">
        <v>435</v>
      </c>
      <c r="E112" s="373"/>
      <c r="F112" s="373"/>
      <c r="G112" s="373"/>
      <c r="H112" s="373"/>
      <c r="I112" s="374"/>
    </row>
    <row r="114" spans="1:9" ht="66" customHeight="1" x14ac:dyDescent="0.3">
      <c r="A114" s="413" t="s">
        <v>437</v>
      </c>
      <c r="B114" s="373"/>
      <c r="C114" s="373"/>
      <c r="D114" s="373"/>
      <c r="E114" s="373"/>
      <c r="F114" s="373"/>
      <c r="G114" s="373"/>
      <c r="H114" s="373"/>
      <c r="I114" s="374"/>
    </row>
    <row r="115" spans="1:9" ht="4.95" customHeight="1" x14ac:dyDescent="0.3">
      <c r="A115" s="48"/>
      <c r="B115" s="48"/>
      <c r="C115" s="48"/>
      <c r="D115" s="48"/>
      <c r="E115" s="48"/>
      <c r="F115" s="48"/>
      <c r="G115" s="48"/>
      <c r="H115" s="48"/>
      <c r="I115" s="48"/>
    </row>
    <row r="116" spans="1:9" ht="19.95" customHeight="1" x14ac:dyDescent="0.3">
      <c r="A116" s="450" t="s">
        <v>438</v>
      </c>
      <c r="B116" s="373"/>
      <c r="C116" s="373"/>
      <c r="D116" s="373"/>
      <c r="E116" s="373"/>
      <c r="F116" s="373"/>
      <c r="G116" s="373"/>
      <c r="H116" s="373"/>
      <c r="I116" s="374"/>
    </row>
    <row r="117" spans="1:9" ht="34.950000000000003" customHeight="1" x14ac:dyDescent="0.3">
      <c r="A117" s="224" t="s">
        <v>439</v>
      </c>
      <c r="B117" s="425" t="s">
        <v>440</v>
      </c>
      <c r="C117" s="373"/>
      <c r="D117" s="373"/>
      <c r="E117" s="373"/>
      <c r="F117" s="373"/>
      <c r="G117" s="373"/>
      <c r="H117" s="373"/>
      <c r="I117" s="374"/>
    </row>
    <row r="118" spans="1:9" ht="34.950000000000003" customHeight="1" x14ac:dyDescent="0.3">
      <c r="A118" s="311" t="s">
        <v>441</v>
      </c>
      <c r="B118" s="451" t="s">
        <v>442</v>
      </c>
      <c r="C118" s="373"/>
      <c r="D118" s="373"/>
      <c r="E118" s="373"/>
      <c r="F118" s="373"/>
      <c r="G118" s="373"/>
      <c r="H118" s="373"/>
      <c r="I118" s="374"/>
    </row>
    <row r="119" spans="1:9" ht="34.950000000000003" customHeight="1" x14ac:dyDescent="0.3">
      <c r="A119" s="312" t="s">
        <v>443</v>
      </c>
      <c r="B119" s="454" t="s">
        <v>444</v>
      </c>
      <c r="C119" s="373"/>
      <c r="D119" s="373"/>
      <c r="E119" s="373"/>
      <c r="F119" s="373"/>
      <c r="G119" s="373"/>
      <c r="H119" s="373"/>
      <c r="I119" s="374"/>
    </row>
    <row r="120" spans="1:9" ht="34.950000000000003" customHeight="1" x14ac:dyDescent="0.3">
      <c r="A120" s="225" t="s">
        <v>445</v>
      </c>
      <c r="B120" s="422" t="s">
        <v>446</v>
      </c>
      <c r="C120" s="373"/>
      <c r="D120" s="373"/>
      <c r="E120" s="373"/>
      <c r="F120" s="373"/>
      <c r="G120" s="373"/>
      <c r="H120" s="373"/>
      <c r="I120" s="374"/>
    </row>
    <row r="121" spans="1:9" ht="34.950000000000003" customHeight="1" x14ac:dyDescent="0.3">
      <c r="A121" s="227" t="s">
        <v>447</v>
      </c>
      <c r="B121" s="423" t="s">
        <v>448</v>
      </c>
      <c r="C121" s="373"/>
      <c r="D121" s="373"/>
      <c r="E121" s="373"/>
      <c r="F121" s="373"/>
      <c r="G121" s="373"/>
      <c r="H121" s="373"/>
      <c r="I121" s="374"/>
    </row>
    <row r="122" spans="1:9" ht="13.05" customHeight="1" x14ac:dyDescent="0.3">
      <c r="A122" s="436" t="s">
        <v>449</v>
      </c>
      <c r="B122" s="373"/>
      <c r="C122" s="373"/>
      <c r="D122" s="373"/>
      <c r="E122" s="373"/>
      <c r="F122" s="373"/>
      <c r="G122" s="373"/>
      <c r="H122" s="373"/>
      <c r="I122" s="374"/>
    </row>
    <row r="123" spans="1:9" ht="4.95" customHeight="1" x14ac:dyDescent="0.3">
      <c r="A123" s="48"/>
      <c r="B123" s="48"/>
      <c r="C123" s="48"/>
      <c r="D123" s="48"/>
      <c r="E123" s="48"/>
      <c r="F123" s="48"/>
      <c r="G123" s="48"/>
      <c r="H123" s="48"/>
      <c r="I123" s="48"/>
    </row>
    <row r="124" spans="1:9" ht="43.95" customHeight="1" x14ac:dyDescent="0.3">
      <c r="A124" s="429" t="s">
        <v>450</v>
      </c>
      <c r="B124" s="373"/>
      <c r="C124" s="373"/>
      <c r="D124" s="373"/>
      <c r="E124" s="373"/>
      <c r="F124" s="373"/>
      <c r="G124" s="373"/>
      <c r="H124" s="373"/>
      <c r="I124" s="374"/>
    </row>
  </sheetData>
  <mergeCells count="55">
    <mergeCell ref="B121:I121"/>
    <mergeCell ref="B20:E20"/>
    <mergeCell ref="E8:I8"/>
    <mergeCell ref="A86:L86"/>
    <mergeCell ref="B117:I117"/>
    <mergeCell ref="A116:I116"/>
    <mergeCell ref="B120:I120"/>
    <mergeCell ref="B118:I118"/>
    <mergeCell ref="A103:I103"/>
    <mergeCell ref="A53:L53"/>
    <mergeCell ref="B22:E22"/>
    <mergeCell ref="E9:I9"/>
    <mergeCell ref="B119:I119"/>
    <mergeCell ref="B18:E18"/>
    <mergeCell ref="A13:I13"/>
    <mergeCell ref="B21:E21"/>
    <mergeCell ref="A2:I2"/>
    <mergeCell ref="D112:I112"/>
    <mergeCell ref="A5:I5"/>
    <mergeCell ref="A71:L71"/>
    <mergeCell ref="D106:I106"/>
    <mergeCell ref="E10:I10"/>
    <mergeCell ref="A14:I14"/>
    <mergeCell ref="A16:I16"/>
    <mergeCell ref="F20:I20"/>
    <mergeCell ref="F18:I18"/>
    <mergeCell ref="B17:E17"/>
    <mergeCell ref="B23:E23"/>
    <mergeCell ref="D109:I109"/>
    <mergeCell ref="E7:I7"/>
    <mergeCell ref="F17:I17"/>
    <mergeCell ref="A11:I11"/>
    <mergeCell ref="A102:I102"/>
    <mergeCell ref="D110:I110"/>
    <mergeCell ref="F21:I21"/>
    <mergeCell ref="A114:I114"/>
    <mergeCell ref="A34:I34"/>
    <mergeCell ref="A25:I25"/>
    <mergeCell ref="D107:I107"/>
    <mergeCell ref="A1:I1"/>
    <mergeCell ref="A36:L36"/>
    <mergeCell ref="A124:I124"/>
    <mergeCell ref="D105:I105"/>
    <mergeCell ref="B19:E19"/>
    <mergeCell ref="A70:L70"/>
    <mergeCell ref="F23:I23"/>
    <mergeCell ref="D111:I111"/>
    <mergeCell ref="D108:I108"/>
    <mergeCell ref="A87:L87"/>
    <mergeCell ref="D104:I104"/>
    <mergeCell ref="F22:I22"/>
    <mergeCell ref="A122:I122"/>
    <mergeCell ref="F19:I19"/>
    <mergeCell ref="A35:I35"/>
    <mergeCell ref="A4:I4"/>
  </mergeCells>
  <conditionalFormatting sqref="A38:L49">
    <cfRule type="expression" dxfId="13" priority="3">
      <formula>$I38&lt;&gt;""</formula>
    </cfRule>
  </conditionalFormatting>
  <conditionalFormatting sqref="A55:L66">
    <cfRule type="expression" dxfId="12" priority="4">
      <formula>$I55&lt;&gt;""</formula>
    </cfRule>
  </conditionalFormatting>
  <conditionalFormatting sqref="B106:B110">
    <cfRule type="colorScale" priority="5">
      <colorScale>
        <cfvo type="min"/>
        <cfvo type="max"/>
        <color rgb="FFC8E6C9"/>
        <color rgb="FFFCE4D6"/>
      </colorScale>
    </cfRule>
  </conditionalFormatting>
  <conditionalFormatting sqref="C106:C110">
    <cfRule type="colorScale" priority="6">
      <colorScale>
        <cfvo type="min"/>
        <cfvo type="max"/>
        <color rgb="FFC8E6C9"/>
        <color rgb="FFFCE4D6"/>
      </colorScale>
    </cfRule>
  </conditionalFormatting>
  <conditionalFormatting sqref="F28:F32">
    <cfRule type="colorScale" priority="1">
      <colorScale>
        <cfvo type="min"/>
        <cfvo type="max"/>
        <color rgb="FFC8E6C9"/>
        <color rgb="FFFCE4D6"/>
      </colorScale>
    </cfRule>
  </conditionalFormatting>
  <conditionalFormatting sqref="G28:G32">
    <cfRule type="colorScale" priority="2">
      <colorScale>
        <cfvo type="min"/>
        <cfvo type="max"/>
        <color rgb="FFC8E6C9"/>
        <color rgb="FFFCE4D6"/>
      </colorScale>
    </cfRule>
  </conditionalFormatting>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85"/>
  <sheetViews>
    <sheetView workbookViewId="0"/>
  </sheetViews>
  <sheetFormatPr defaultRowHeight="14.4" x14ac:dyDescent="0.3"/>
  <cols>
    <col min="1" max="1" width="9" customWidth="1"/>
    <col min="2" max="2" width="14" customWidth="1"/>
    <col min="3" max="3" width="32" customWidth="1"/>
    <col min="4" max="4" width="9" customWidth="1"/>
    <col min="5" max="6" width="12" customWidth="1"/>
    <col min="7" max="7" width="13" customWidth="1"/>
    <col min="8" max="8" width="10" customWidth="1"/>
    <col min="9" max="9" width="55" customWidth="1"/>
  </cols>
  <sheetData>
    <row r="1" spans="1:9" ht="31.95" customHeight="1" x14ac:dyDescent="0.3">
      <c r="A1" s="403" t="s">
        <v>451</v>
      </c>
      <c r="B1" s="373"/>
      <c r="C1" s="373"/>
      <c r="D1" s="373"/>
      <c r="E1" s="373"/>
      <c r="F1" s="373"/>
      <c r="G1" s="373"/>
      <c r="H1" s="373"/>
      <c r="I1" s="374"/>
    </row>
    <row r="2" spans="1:9" ht="13.05" customHeight="1" x14ac:dyDescent="0.3">
      <c r="A2" s="428" t="s">
        <v>281</v>
      </c>
      <c r="B2" s="373"/>
      <c r="C2" s="373"/>
      <c r="D2" s="373"/>
      <c r="E2" s="373"/>
      <c r="F2" s="373"/>
      <c r="G2" s="373"/>
      <c r="H2" s="373"/>
      <c r="I2" s="374"/>
    </row>
    <row r="3" spans="1:9" ht="4.95" customHeight="1" x14ac:dyDescent="0.3">
      <c r="A3" s="48"/>
      <c r="B3" s="48"/>
      <c r="C3" s="48"/>
      <c r="D3" s="48"/>
      <c r="E3" s="48"/>
      <c r="F3" s="48"/>
      <c r="G3" s="48"/>
      <c r="H3" s="48"/>
      <c r="I3" s="48"/>
    </row>
    <row r="4" spans="1:9" ht="19.95" customHeight="1" x14ac:dyDescent="0.3">
      <c r="A4" s="418" t="s">
        <v>452</v>
      </c>
      <c r="B4" s="373"/>
      <c r="C4" s="373"/>
      <c r="D4" s="373"/>
      <c r="E4" s="373"/>
      <c r="F4" s="373"/>
      <c r="G4" s="373"/>
      <c r="H4" s="373"/>
      <c r="I4" s="374"/>
    </row>
    <row r="5" spans="1:9" ht="16.05" customHeight="1" x14ac:dyDescent="0.3">
      <c r="A5" s="313" t="s">
        <v>344</v>
      </c>
      <c r="B5" s="456" t="s">
        <v>453</v>
      </c>
      <c r="C5" s="373"/>
      <c r="D5" s="373"/>
      <c r="E5" s="374"/>
      <c r="F5" s="456" t="s">
        <v>454</v>
      </c>
      <c r="G5" s="373"/>
      <c r="H5" s="373"/>
      <c r="I5" s="374"/>
    </row>
    <row r="6" spans="1:9" ht="48" customHeight="1" x14ac:dyDescent="0.3">
      <c r="A6" s="314" t="s">
        <v>455</v>
      </c>
      <c r="B6" s="455" t="s">
        <v>456</v>
      </c>
      <c r="C6" s="373"/>
      <c r="D6" s="373"/>
      <c r="E6" s="374"/>
      <c r="F6" s="455" t="s">
        <v>457</v>
      </c>
      <c r="G6" s="373"/>
      <c r="H6" s="373"/>
      <c r="I6" s="374"/>
    </row>
    <row r="7" spans="1:9" ht="48" customHeight="1" x14ac:dyDescent="0.3">
      <c r="A7" s="315" t="s">
        <v>362</v>
      </c>
      <c r="B7" s="447" t="s">
        <v>458</v>
      </c>
      <c r="C7" s="373"/>
      <c r="D7" s="373"/>
      <c r="E7" s="374"/>
      <c r="F7" s="447" t="s">
        <v>459</v>
      </c>
      <c r="G7" s="373"/>
      <c r="H7" s="373"/>
      <c r="I7" s="374"/>
    </row>
    <row r="8" spans="1:9" ht="4.95" customHeight="1" x14ac:dyDescent="0.3">
      <c r="A8" s="48"/>
      <c r="B8" s="48"/>
      <c r="C8" s="48"/>
      <c r="D8" s="48"/>
      <c r="E8" s="48"/>
      <c r="F8" s="48"/>
      <c r="G8" s="48"/>
      <c r="H8" s="48"/>
      <c r="I8" s="48"/>
    </row>
    <row r="9" spans="1:9" ht="19.95" customHeight="1" x14ac:dyDescent="0.3">
      <c r="A9" s="418" t="s">
        <v>460</v>
      </c>
      <c r="B9" s="373"/>
      <c r="C9" s="373"/>
      <c r="D9" s="373"/>
      <c r="E9" s="373"/>
      <c r="F9" s="373"/>
      <c r="G9" s="373"/>
      <c r="H9" s="373"/>
      <c r="I9" s="374"/>
    </row>
    <row r="10" spans="1:9" ht="25.95" customHeight="1" x14ac:dyDescent="0.3">
      <c r="A10" s="316" t="s">
        <v>284</v>
      </c>
      <c r="B10" s="316" t="s">
        <v>326</v>
      </c>
      <c r="C10" s="316" t="s">
        <v>327</v>
      </c>
      <c r="D10" s="316" t="s">
        <v>285</v>
      </c>
      <c r="E10" s="316" t="s">
        <v>461</v>
      </c>
      <c r="F10" s="316" t="s">
        <v>462</v>
      </c>
      <c r="G10" s="316" t="s">
        <v>463</v>
      </c>
      <c r="H10" s="316" t="s">
        <v>464</v>
      </c>
      <c r="I10" s="316" t="s">
        <v>295</v>
      </c>
    </row>
    <row r="11" spans="1:9" ht="40.049999999999997" customHeight="1" x14ac:dyDescent="0.3">
      <c r="A11" s="317" t="s">
        <v>50</v>
      </c>
      <c r="B11" s="318" t="s">
        <v>335</v>
      </c>
      <c r="C11" s="318" t="s">
        <v>465</v>
      </c>
      <c r="D11" s="317" t="s">
        <v>231</v>
      </c>
      <c r="E11" s="319">
        <f>Combinée!B36</f>
        <v>1.4199073398998924E-2</v>
      </c>
      <c r="F11" s="320">
        <f>Combinée!W34</f>
        <v>1136.3878519671082</v>
      </c>
      <c r="G11" s="321">
        <f>Simplifiée!E21</f>
        <v>1157.3189556856082</v>
      </c>
      <c r="H11" s="322">
        <f>Synthèse!F35</f>
        <v>0.10427225028085439</v>
      </c>
      <c r="I11" s="323" t="s">
        <v>466</v>
      </c>
    </row>
    <row r="12" spans="1:9" ht="40.049999999999997" customHeight="1" x14ac:dyDescent="0.3">
      <c r="A12" s="324" t="s">
        <v>58</v>
      </c>
      <c r="B12" s="325" t="s">
        <v>467</v>
      </c>
      <c r="C12" s="325" t="s">
        <v>468</v>
      </c>
      <c r="D12" s="324" t="s">
        <v>231</v>
      </c>
      <c r="E12" s="326">
        <f>Combinée!B53</f>
        <v>4.6377903763156576E-3</v>
      </c>
      <c r="F12" s="327">
        <f>Combinée!W51</f>
        <v>1012.038592865259</v>
      </c>
      <c r="G12" s="328">
        <f>Simplifiée!E37</f>
        <v>1061.0065250439281</v>
      </c>
      <c r="H12" s="329">
        <f>Synthèse!F36</f>
        <v>1.1294025107793334E-2</v>
      </c>
      <c r="I12" s="323" t="s">
        <v>466</v>
      </c>
    </row>
    <row r="13" spans="1:9" ht="40.049999999999997" customHeight="1" x14ac:dyDescent="0.3">
      <c r="A13" s="330" t="s">
        <v>292</v>
      </c>
      <c r="B13" s="331" t="s">
        <v>335</v>
      </c>
      <c r="C13" s="331" t="s">
        <v>469</v>
      </c>
      <c r="D13" s="330" t="s">
        <v>232</v>
      </c>
      <c r="E13" s="332">
        <f>Combinée!B70</f>
        <v>3.5427689240948167E-3</v>
      </c>
      <c r="F13" s="333">
        <f>Combinée!W68</f>
        <v>1638.337691280276</v>
      </c>
      <c r="G13" s="334">
        <f>Simplifiée!I55</f>
        <v>1862.3695703194217</v>
      </c>
      <c r="H13" s="335">
        <f>Synthèse!F37</f>
        <v>4.0794724730652916E-3</v>
      </c>
      <c r="I13" s="336" t="s">
        <v>470</v>
      </c>
    </row>
    <row r="14" spans="1:9" ht="40.049999999999997" customHeight="1" x14ac:dyDescent="0.3">
      <c r="A14" s="337" t="s">
        <v>293</v>
      </c>
      <c r="B14" s="338" t="s">
        <v>335</v>
      </c>
      <c r="C14" s="338" t="s">
        <v>471</v>
      </c>
      <c r="D14" s="337" t="s">
        <v>239</v>
      </c>
      <c r="E14" s="339">
        <f>Combinée!B87</f>
        <v>3.4039473331618345E-2</v>
      </c>
      <c r="F14" s="340">
        <f>Combinée!W85</f>
        <v>1523.1783275957362</v>
      </c>
      <c r="G14" s="341">
        <f>Simplifiée!I73</f>
        <v>1632.7001337230774</v>
      </c>
      <c r="H14" s="342">
        <f>Synthèse!F38</f>
        <v>0.11860197701590462</v>
      </c>
      <c r="I14" s="343" t="s">
        <v>472</v>
      </c>
    </row>
    <row r="15" spans="1:9" ht="4.95" customHeight="1" x14ac:dyDescent="0.3">
      <c r="A15" s="48"/>
      <c r="B15" s="48"/>
      <c r="C15" s="48"/>
      <c r="D15" s="48"/>
      <c r="E15" s="48"/>
      <c r="F15" s="48"/>
      <c r="G15" s="48"/>
      <c r="H15" s="48"/>
      <c r="I15" s="48"/>
    </row>
    <row r="16" spans="1:9" ht="54" customHeight="1" x14ac:dyDescent="0.3">
      <c r="A16" s="448" t="s">
        <v>473</v>
      </c>
      <c r="B16" s="373"/>
      <c r="C16" s="373"/>
      <c r="D16" s="373"/>
      <c r="E16" s="373"/>
      <c r="F16" s="373"/>
      <c r="G16" s="373"/>
      <c r="H16" s="373"/>
      <c r="I16" s="374"/>
    </row>
    <row r="17" spans="1:9" ht="13.05" customHeight="1" x14ac:dyDescent="0.3">
      <c r="A17" s="436" t="s">
        <v>474</v>
      </c>
      <c r="B17" s="373"/>
      <c r="C17" s="373"/>
      <c r="D17" s="373"/>
      <c r="E17" s="373"/>
      <c r="F17" s="373"/>
      <c r="G17" s="373"/>
      <c r="H17" s="373"/>
      <c r="I17" s="374"/>
    </row>
    <row r="18" spans="1:9" ht="13.05" customHeight="1" x14ac:dyDescent="0.3">
      <c r="A18" s="459" t="s">
        <v>475</v>
      </c>
      <c r="B18" s="373"/>
      <c r="C18" s="373"/>
      <c r="D18" s="373"/>
      <c r="E18" s="373"/>
      <c r="F18" s="373"/>
      <c r="G18" s="373"/>
      <c r="H18" s="373"/>
      <c r="I18" s="374"/>
    </row>
    <row r="19" spans="1:9" ht="4.95" customHeight="1" x14ac:dyDescent="0.3">
      <c r="A19" s="48"/>
      <c r="B19" s="48"/>
      <c r="C19" s="48"/>
      <c r="D19" s="48"/>
      <c r="E19" s="48"/>
      <c r="F19" s="48"/>
      <c r="G19" s="48"/>
      <c r="H19" s="48"/>
      <c r="I19" s="48"/>
    </row>
    <row r="20" spans="1:9" ht="19.95" customHeight="1" x14ac:dyDescent="0.3">
      <c r="A20" s="409" t="s">
        <v>476</v>
      </c>
      <c r="B20" s="373"/>
      <c r="C20" s="373"/>
      <c r="D20" s="373"/>
      <c r="E20" s="373"/>
      <c r="F20" s="373"/>
      <c r="G20" s="373"/>
      <c r="H20" s="373"/>
      <c r="I20" s="374"/>
    </row>
    <row r="21" spans="1:9" ht="25.95" customHeight="1" x14ac:dyDescent="0.3">
      <c r="A21" s="460" t="s">
        <v>477</v>
      </c>
      <c r="B21" s="373"/>
      <c r="C21" s="373"/>
      <c r="D21" s="373"/>
      <c r="E21" s="373"/>
      <c r="F21" s="373"/>
      <c r="G21" s="373"/>
      <c r="H21" s="373"/>
      <c r="I21" s="374"/>
    </row>
    <row r="22" spans="1:9" ht="31.95" customHeight="1" x14ac:dyDescent="0.3">
      <c r="A22" s="462" t="s">
        <v>478</v>
      </c>
      <c r="B22" s="373"/>
      <c r="C22" s="373"/>
      <c r="D22" s="373"/>
      <c r="E22" s="373"/>
      <c r="F22" s="373"/>
      <c r="G22" s="373"/>
      <c r="H22" s="373"/>
      <c r="I22" s="374"/>
    </row>
    <row r="23" spans="1:9" ht="16.05" customHeight="1" x14ac:dyDescent="0.3">
      <c r="A23" s="313" t="s">
        <v>2</v>
      </c>
      <c r="B23" s="313" t="s">
        <v>362</v>
      </c>
      <c r="C23" s="313" t="s">
        <v>479</v>
      </c>
      <c r="D23" s="313" t="s">
        <v>244</v>
      </c>
    </row>
    <row r="24" spans="1:9" x14ac:dyDescent="0.3">
      <c r="A24" s="344" t="s">
        <v>147</v>
      </c>
      <c r="B24" s="345">
        <f>Combinée!W22</f>
        <v>85.173520907452186</v>
      </c>
      <c r="C24" s="346">
        <f>Simplifiée!E9</f>
        <v>87.063364569388668</v>
      </c>
      <c r="D24" s="347">
        <f t="shared" ref="D24:D35" si="0">ABS(C24-B24)/B24</f>
        <v>2.2188159439715392E-2</v>
      </c>
    </row>
    <row r="25" spans="1:9" x14ac:dyDescent="0.3">
      <c r="A25" s="348" t="s">
        <v>148</v>
      </c>
      <c r="B25" s="349">
        <f>Combinée!W23</f>
        <v>95.895364127566779</v>
      </c>
      <c r="C25" s="350">
        <f>Simplifiée!E10</f>
        <v>97.968042523033333</v>
      </c>
      <c r="D25" s="351">
        <f t="shared" si="0"/>
        <v>2.1613958237953302E-2</v>
      </c>
    </row>
    <row r="26" spans="1:9" x14ac:dyDescent="0.3">
      <c r="A26" s="344" t="s">
        <v>149</v>
      </c>
      <c r="B26" s="345">
        <f>Combinée!W24</f>
        <v>99.202100821620803</v>
      </c>
      <c r="C26" s="346">
        <f>Simplifiée!E11</f>
        <v>101.26569767441862</v>
      </c>
      <c r="D26" s="347">
        <f t="shared" si="0"/>
        <v>2.080194709291943E-2</v>
      </c>
    </row>
    <row r="27" spans="1:9" x14ac:dyDescent="0.3">
      <c r="A27" s="348" t="s">
        <v>150</v>
      </c>
      <c r="B27" s="349">
        <f>Combinée!W25</f>
        <v>88.179645174774038</v>
      </c>
      <c r="C27" s="350">
        <f>Simplifiée!E12</f>
        <v>90.061129568106324</v>
      </c>
      <c r="D27" s="351">
        <f t="shared" si="0"/>
        <v>2.1336946747779965E-2</v>
      </c>
    </row>
    <row r="28" spans="1:9" x14ac:dyDescent="0.3">
      <c r="A28" s="344" t="s">
        <v>151</v>
      </c>
      <c r="B28" s="345">
        <f>Combinée!W26</f>
        <v>86.175562329892799</v>
      </c>
      <c r="C28" s="346">
        <f>Simplifiée!E13</f>
        <v>88.06260162601626</v>
      </c>
      <c r="D28" s="347">
        <f t="shared" si="0"/>
        <v>2.1897615113895003E-2</v>
      </c>
    </row>
    <row r="29" spans="1:9" x14ac:dyDescent="0.3">
      <c r="A29" s="348" t="s">
        <v>152</v>
      </c>
      <c r="B29" s="349">
        <f>Combinée!W27</f>
        <v>83.169438062570961</v>
      </c>
      <c r="C29" s="350">
        <f>Simplifiée!E14</f>
        <v>85.064947648070017</v>
      </c>
      <c r="D29" s="351">
        <f t="shared" si="0"/>
        <v>2.2790938951312921E-2</v>
      </c>
    </row>
    <row r="30" spans="1:9" x14ac:dyDescent="0.3">
      <c r="A30" s="344" t="s">
        <v>153</v>
      </c>
      <c r="B30" s="345">
        <f>Combinée!W28</f>
        <v>84.171479485011574</v>
      </c>
      <c r="C30" s="346">
        <f>Simplifiée!E15</f>
        <v>86.064146341463427</v>
      </c>
      <c r="D30" s="347">
        <f t="shared" si="0"/>
        <v>2.24858451821425E-2</v>
      </c>
    </row>
    <row r="31" spans="1:9" x14ac:dyDescent="0.3">
      <c r="A31" s="348" t="s">
        <v>154</v>
      </c>
      <c r="B31" s="349">
        <f>Combinée!W29</f>
        <v>91.185769442095875</v>
      </c>
      <c r="C31" s="350">
        <f>Simplifiée!E16</f>
        <v>93.05904688105386</v>
      </c>
      <c r="D31" s="351">
        <f t="shared" si="0"/>
        <v>2.0543528342408073E-2</v>
      </c>
    </row>
    <row r="32" spans="1:9" x14ac:dyDescent="0.3">
      <c r="A32" s="344" t="s">
        <v>155</v>
      </c>
      <c r="B32" s="345">
        <f>Combinée!W30</f>
        <v>99.202100821620789</v>
      </c>
      <c r="C32" s="346">
        <f>Simplifiée!E17</f>
        <v>101.05412913727618</v>
      </c>
      <c r="D32" s="347">
        <f t="shared" si="0"/>
        <v>1.8669244908286711E-2</v>
      </c>
    </row>
    <row r="33" spans="1:9" x14ac:dyDescent="0.3">
      <c r="A33" s="348" t="s">
        <v>156</v>
      </c>
      <c r="B33" s="349">
        <f>Combinée!W31</f>
        <v>125.62866915126104</v>
      </c>
      <c r="C33" s="350">
        <f>Simplifiée!E18</f>
        <v>125.54729728711378</v>
      </c>
      <c r="D33" s="351">
        <f t="shared" si="0"/>
        <v>6.4771731402553682E-4</v>
      </c>
    </row>
    <row r="34" spans="1:9" x14ac:dyDescent="0.3">
      <c r="A34" s="344" t="s">
        <v>157</v>
      </c>
      <c r="B34" s="345">
        <f>Combinée!W32</f>
        <v>104.21230793382385</v>
      </c>
      <c r="C34" s="346">
        <f>Simplifiée!E19</f>
        <v>106.05145098039218</v>
      </c>
      <c r="D34" s="347">
        <f t="shared" si="0"/>
        <v>1.7648040649250411E-2</v>
      </c>
    </row>
    <row r="35" spans="1:9" x14ac:dyDescent="0.3">
      <c r="A35" s="348" t="s">
        <v>158</v>
      </c>
      <c r="B35" s="349">
        <f>Combinée!W33</f>
        <v>94.191893709417712</v>
      </c>
      <c r="C35" s="350">
        <f>Simplifiée!E20</f>
        <v>96.057101449275365</v>
      </c>
      <c r="D35" s="351">
        <f t="shared" si="0"/>
        <v>1.9802210852791897E-2</v>
      </c>
    </row>
    <row r="36" spans="1:9" ht="4.95" customHeight="1" x14ac:dyDescent="0.3">
      <c r="A36" s="48"/>
      <c r="B36" s="48"/>
      <c r="C36" s="48"/>
      <c r="D36" s="48"/>
      <c r="E36" s="48"/>
      <c r="F36" s="48"/>
      <c r="G36" s="48"/>
      <c r="H36" s="48"/>
      <c r="I36" s="48"/>
    </row>
    <row r="37" spans="1:9" ht="31.95" customHeight="1" x14ac:dyDescent="0.3">
      <c r="A37" s="457" t="s">
        <v>480</v>
      </c>
      <c r="B37" s="373"/>
      <c r="C37" s="373"/>
      <c r="D37" s="373"/>
      <c r="E37" s="373"/>
      <c r="F37" s="373"/>
      <c r="G37" s="373"/>
      <c r="H37" s="373"/>
      <c r="I37" s="374"/>
    </row>
    <row r="38" spans="1:9" ht="16.05" customHeight="1" x14ac:dyDescent="0.3">
      <c r="A38" s="313" t="s">
        <v>2</v>
      </c>
      <c r="B38" s="313" t="s">
        <v>362</v>
      </c>
      <c r="C38" s="313" t="s">
        <v>479</v>
      </c>
      <c r="D38" s="313" t="s">
        <v>244</v>
      </c>
    </row>
    <row r="39" spans="1:9" x14ac:dyDescent="0.3">
      <c r="A39" s="344" t="s">
        <v>147</v>
      </c>
      <c r="B39" s="345">
        <f>Combinée!W39</f>
        <v>61.311224489795919</v>
      </c>
      <c r="C39" s="346">
        <f>Simplifiée!E25</f>
        <v>64.206802507836997</v>
      </c>
      <c r="D39" s="347">
        <f t="shared" ref="D39:D50" si="1">ABS(C39-B39)/B39</f>
        <v>4.7227535286348619E-2</v>
      </c>
    </row>
    <row r="40" spans="1:9" x14ac:dyDescent="0.3">
      <c r="A40" s="348" t="s">
        <v>148</v>
      </c>
      <c r="B40" s="349">
        <f>Combinée!W40</f>
        <v>39.242078386548023</v>
      </c>
      <c r="C40" s="350">
        <f>Simplifiée!E26</f>
        <v>41.1442471042471</v>
      </c>
      <c r="D40" s="351">
        <f t="shared" si="1"/>
        <v>4.8472680242928473E-2</v>
      </c>
    </row>
    <row r="41" spans="1:9" x14ac:dyDescent="0.3">
      <c r="A41" s="344" t="s">
        <v>149</v>
      </c>
      <c r="B41" s="345">
        <f>Combinée!W41</f>
        <v>27.16759272914863</v>
      </c>
      <c r="C41" s="346">
        <f>Simplifiée!E27</f>
        <v>28.050923076923073</v>
      </c>
      <c r="D41" s="347">
        <f t="shared" si="1"/>
        <v>3.2514119177982997E-2</v>
      </c>
    </row>
    <row r="42" spans="1:9" x14ac:dyDescent="0.3">
      <c r="A42" s="348" t="s">
        <v>150</v>
      </c>
      <c r="B42" s="349">
        <f>Combinée!W42</f>
        <v>29.783731288251833</v>
      </c>
      <c r="C42" s="350">
        <f>Simplifiée!E28</f>
        <v>32.932503698108455</v>
      </c>
      <c r="D42" s="351">
        <f t="shared" si="1"/>
        <v>0.10572122006414465</v>
      </c>
    </row>
    <row r="43" spans="1:9" x14ac:dyDescent="0.3">
      <c r="A43" s="344" t="s">
        <v>151</v>
      </c>
      <c r="B43" s="345">
        <f>Combinée!W43</f>
        <v>20.124142762332319</v>
      </c>
      <c r="C43" s="346">
        <f>Simplifiée!E29</f>
        <v>21.070175438596493</v>
      </c>
      <c r="D43" s="347">
        <f t="shared" si="1"/>
        <v>4.7009837260493188E-2</v>
      </c>
    </row>
    <row r="44" spans="1:9" x14ac:dyDescent="0.3">
      <c r="A44" s="348" t="s">
        <v>152</v>
      </c>
      <c r="B44" s="349">
        <f>Combinée!W44</f>
        <v>18.81607348278072</v>
      </c>
      <c r="C44" s="350">
        <f>Simplifiée!E30</f>
        <v>19.892125</v>
      </c>
      <c r="D44" s="351">
        <f t="shared" si="1"/>
        <v>5.7187888759257594E-2</v>
      </c>
    </row>
    <row r="45" spans="1:9" x14ac:dyDescent="0.3">
      <c r="A45" s="344" t="s">
        <v>153</v>
      </c>
      <c r="B45" s="345">
        <f>Combinée!W45</f>
        <v>17.105521347982471</v>
      </c>
      <c r="C45" s="346">
        <f>Simplifiée!E31</f>
        <v>18.083749999999998</v>
      </c>
      <c r="D45" s="347">
        <f t="shared" si="1"/>
        <v>5.71878887592576E-2</v>
      </c>
    </row>
    <row r="46" spans="1:9" x14ac:dyDescent="0.3">
      <c r="A46" s="348" t="s">
        <v>154</v>
      </c>
      <c r="B46" s="349">
        <f>Combinée!W46</f>
        <v>22.136557038565552</v>
      </c>
      <c r="C46" s="350">
        <f>Simplifiée!E32</f>
        <v>23.063333333333333</v>
      </c>
      <c r="D46" s="351">
        <f t="shared" si="1"/>
        <v>4.1866325154050935E-2</v>
      </c>
    </row>
    <row r="47" spans="1:9" x14ac:dyDescent="0.3">
      <c r="A47" s="344" t="s">
        <v>155</v>
      </c>
      <c r="B47" s="345">
        <f>Combinée!W47</f>
        <v>50.310356905830801</v>
      </c>
      <c r="C47" s="346">
        <f>Simplifiée!E33</f>
        <v>52.900709219858157</v>
      </c>
      <c r="D47" s="347">
        <f t="shared" si="1"/>
        <v>5.1487456526613178E-2</v>
      </c>
    </row>
    <row r="48" spans="1:9" x14ac:dyDescent="0.3">
      <c r="A48" s="348" t="s">
        <v>156</v>
      </c>
      <c r="B48" s="349">
        <f>Combinée!W48</f>
        <v>122.58101350809685</v>
      </c>
      <c r="C48" s="350">
        <f>Simplifiée!E34</f>
        <v>128.41360501567399</v>
      </c>
      <c r="D48" s="351">
        <f t="shared" si="1"/>
        <v>4.7581524582450026E-2</v>
      </c>
    </row>
    <row r="49" spans="1:9" x14ac:dyDescent="0.3">
      <c r="A49" s="344" t="s">
        <v>157</v>
      </c>
      <c r="B49" s="345">
        <f>Combinée!W49</f>
        <v>292.98871753246755</v>
      </c>
      <c r="C49" s="346">
        <f>Simplifiée!E35</f>
        <v>306.57763636363632</v>
      </c>
      <c r="D49" s="347">
        <f t="shared" si="1"/>
        <v>4.6380348518583872E-2</v>
      </c>
    </row>
    <row r="50" spans="1:9" x14ac:dyDescent="0.3">
      <c r="A50" s="348" t="s">
        <v>158</v>
      </c>
      <c r="B50" s="349">
        <f>Combinée!W50</f>
        <v>310.47158339345839</v>
      </c>
      <c r="C50" s="350">
        <f>Simplifiée!E36</f>
        <v>324.67071428571427</v>
      </c>
      <c r="D50" s="351">
        <f t="shared" si="1"/>
        <v>4.5734075682737844E-2</v>
      </c>
    </row>
    <row r="51" spans="1:9" ht="4.95" customHeight="1" x14ac:dyDescent="0.3">
      <c r="A51" s="48"/>
      <c r="B51" s="48"/>
      <c r="C51" s="48"/>
      <c r="D51" s="48"/>
      <c r="E51" s="48"/>
      <c r="F51" s="48"/>
      <c r="G51" s="48"/>
      <c r="H51" s="48"/>
      <c r="I51" s="48"/>
    </row>
    <row r="52" spans="1:9" ht="31.95" customHeight="1" x14ac:dyDescent="0.3">
      <c r="A52" s="461" t="s">
        <v>481</v>
      </c>
      <c r="B52" s="373"/>
      <c r="C52" s="373"/>
      <c r="D52" s="373"/>
      <c r="E52" s="373"/>
      <c r="F52" s="373"/>
      <c r="G52" s="373"/>
      <c r="H52" s="373"/>
      <c r="I52" s="374"/>
    </row>
    <row r="53" spans="1:9" ht="16.05" customHeight="1" x14ac:dyDescent="0.3">
      <c r="A53" s="313" t="s">
        <v>2</v>
      </c>
      <c r="B53" s="313" t="s">
        <v>362</v>
      </c>
      <c r="C53" s="313" t="s">
        <v>479</v>
      </c>
      <c r="D53" s="313" t="s">
        <v>244</v>
      </c>
    </row>
    <row r="54" spans="1:9" x14ac:dyDescent="0.3">
      <c r="A54" s="344" t="s">
        <v>147</v>
      </c>
      <c r="B54" s="345">
        <f>Combinée!W56</f>
        <v>132.48286268994826</v>
      </c>
      <c r="C54" s="346">
        <f>Simplifiée!I43</f>
        <v>150.62910685805423</v>
      </c>
      <c r="D54" s="347">
        <f t="shared" ref="D54:D65" si="2">ABS(C54-B54)/B54</f>
        <v>0.13697050169102934</v>
      </c>
    </row>
    <row r="55" spans="1:9" x14ac:dyDescent="0.3">
      <c r="A55" s="348" t="s">
        <v>148</v>
      </c>
      <c r="B55" s="349">
        <f>Combinée!W57</f>
        <v>134.50550181498565</v>
      </c>
      <c r="C55" s="350">
        <f>Simplifiée!I44</f>
        <v>152.56970809149882</v>
      </c>
      <c r="D55" s="351">
        <f t="shared" si="2"/>
        <v>0.13430087269858124</v>
      </c>
    </row>
    <row r="56" spans="1:9" x14ac:dyDescent="0.3">
      <c r="A56" s="344" t="s">
        <v>149</v>
      </c>
      <c r="B56" s="345">
        <f>Combinée!W58</f>
        <v>137.53946050254171</v>
      </c>
      <c r="C56" s="346">
        <f>Simplifiée!I45</f>
        <v>156.46378147112063</v>
      </c>
      <c r="D56" s="347">
        <f t="shared" si="2"/>
        <v>0.13759193833851915</v>
      </c>
    </row>
    <row r="57" spans="1:9" x14ac:dyDescent="0.3">
      <c r="A57" s="348" t="s">
        <v>150</v>
      </c>
      <c r="B57" s="349">
        <f>Combinée!W59</f>
        <v>140.57341919009778</v>
      </c>
      <c r="C57" s="350">
        <f>Simplifiée!I46</f>
        <v>159.82866587957497</v>
      </c>
      <c r="D57" s="351">
        <f t="shared" si="2"/>
        <v>0.13697644121068345</v>
      </c>
    </row>
    <row r="58" spans="1:9" x14ac:dyDescent="0.3">
      <c r="A58" s="344" t="s">
        <v>151</v>
      </c>
      <c r="B58" s="345">
        <f>Combinée!W60</f>
        <v>136.52814094002301</v>
      </c>
      <c r="C58" s="346">
        <f>Simplifiée!I47</f>
        <v>155.49434389140274</v>
      </c>
      <c r="D58" s="347">
        <f t="shared" si="2"/>
        <v>0.13891790235180604</v>
      </c>
    </row>
    <row r="59" spans="1:9" x14ac:dyDescent="0.3">
      <c r="A59" s="348" t="s">
        <v>152</v>
      </c>
      <c r="B59" s="349">
        <f>Combinée!W61</f>
        <v>133.49418225246694</v>
      </c>
      <c r="C59" s="350">
        <f>Simplifiée!I48</f>
        <v>151.59913043478264</v>
      </c>
      <c r="D59" s="351">
        <f t="shared" si="2"/>
        <v>0.1356234996673881</v>
      </c>
    </row>
    <row r="60" spans="1:9" x14ac:dyDescent="0.3">
      <c r="A60" s="344" t="s">
        <v>153</v>
      </c>
      <c r="B60" s="345">
        <f>Combinée!W62</f>
        <v>139.5620996275791</v>
      </c>
      <c r="C60" s="346">
        <f>Simplifiée!I49</f>
        <v>158.85923076923078</v>
      </c>
      <c r="D60" s="347">
        <f t="shared" si="2"/>
        <v>0.13826913748894573</v>
      </c>
    </row>
    <row r="61" spans="1:9" x14ac:dyDescent="0.3">
      <c r="A61" s="348" t="s">
        <v>154</v>
      </c>
      <c r="B61" s="349">
        <f>Combinée!W63</f>
        <v>141.58473875261646</v>
      </c>
      <c r="C61" s="350">
        <f>Simplifiée!I50</f>
        <v>160.79863903495206</v>
      </c>
      <c r="D61" s="351">
        <f t="shared" si="2"/>
        <v>0.1357060121847386</v>
      </c>
    </row>
    <row r="62" spans="1:9" x14ac:dyDescent="0.3">
      <c r="A62" s="344" t="s">
        <v>155</v>
      </c>
      <c r="B62" s="345">
        <f>Combinée!W64</f>
        <v>134.50550181498565</v>
      </c>
      <c r="C62" s="346">
        <f>Simplifiée!I51</f>
        <v>152.56970809149882</v>
      </c>
      <c r="D62" s="347">
        <f t="shared" si="2"/>
        <v>0.13430087269858124</v>
      </c>
    </row>
    <row r="63" spans="1:9" x14ac:dyDescent="0.3">
      <c r="A63" s="348" t="s">
        <v>156</v>
      </c>
      <c r="B63" s="349">
        <f>Combinée!W65</f>
        <v>137.53946050254171</v>
      </c>
      <c r="C63" s="350">
        <f>Simplifiée!I52</f>
        <v>156.46378147112063</v>
      </c>
      <c r="D63" s="351">
        <f t="shared" si="2"/>
        <v>0.13759193833851915</v>
      </c>
    </row>
    <row r="64" spans="1:9" x14ac:dyDescent="0.3">
      <c r="A64" s="344" t="s">
        <v>157</v>
      </c>
      <c r="B64" s="345">
        <f>Combinée!W66</f>
        <v>133.49418225246694</v>
      </c>
      <c r="C64" s="346">
        <f>Simplifiée!I53</f>
        <v>151.59913043478264</v>
      </c>
      <c r="D64" s="347">
        <f t="shared" si="2"/>
        <v>0.1356234996673881</v>
      </c>
    </row>
    <row r="65" spans="1:9" x14ac:dyDescent="0.3">
      <c r="A65" s="348" t="s">
        <v>158</v>
      </c>
      <c r="B65" s="349">
        <f>Combinée!W67</f>
        <v>136.52814094002301</v>
      </c>
      <c r="C65" s="350">
        <f>Simplifiée!I54</f>
        <v>155.49434389140274</v>
      </c>
      <c r="D65" s="351">
        <f t="shared" si="2"/>
        <v>0.13891790235180604</v>
      </c>
    </row>
    <row r="66" spans="1:9" ht="4.95" customHeight="1" x14ac:dyDescent="0.3">
      <c r="A66" s="48"/>
      <c r="B66" s="48"/>
      <c r="C66" s="48"/>
      <c r="D66" s="48"/>
      <c r="E66" s="48"/>
      <c r="F66" s="48"/>
      <c r="G66" s="48"/>
      <c r="H66" s="48"/>
      <c r="I66" s="48"/>
    </row>
    <row r="67" spans="1:9" ht="31.95" customHeight="1" x14ac:dyDescent="0.3">
      <c r="A67" s="429" t="s">
        <v>482</v>
      </c>
      <c r="B67" s="373"/>
      <c r="C67" s="373"/>
      <c r="D67" s="373"/>
      <c r="E67" s="373"/>
      <c r="F67" s="373"/>
      <c r="G67" s="373"/>
      <c r="H67" s="373"/>
      <c r="I67" s="374"/>
    </row>
    <row r="68" spans="1:9" ht="16.05" customHeight="1" x14ac:dyDescent="0.3">
      <c r="A68" s="313" t="s">
        <v>2</v>
      </c>
      <c r="B68" s="313" t="s">
        <v>362</v>
      </c>
      <c r="C68" s="313" t="s">
        <v>479</v>
      </c>
      <c r="D68" s="313" t="s">
        <v>244</v>
      </c>
    </row>
    <row r="69" spans="1:9" x14ac:dyDescent="0.3">
      <c r="A69" s="344" t="s">
        <v>147</v>
      </c>
      <c r="B69" s="345">
        <f>Combinée!W73</f>
        <v>118.87238270919106</v>
      </c>
      <c r="C69" s="346">
        <f>Simplifiée!I61</f>
        <v>124.07920560747664</v>
      </c>
      <c r="D69" s="347">
        <f t="shared" ref="D69:D80" si="3">ABS(C69-B69)/B69</f>
        <v>4.3801787931041405E-2</v>
      </c>
    </row>
    <row r="70" spans="1:9" x14ac:dyDescent="0.3">
      <c r="A70" s="348" t="s">
        <v>148</v>
      </c>
      <c r="B70" s="349">
        <f>Combinée!W74</f>
        <v>120.88716885680446</v>
      </c>
      <c r="C70" s="350">
        <f>Simplifiée!I62</f>
        <v>126.07242877836794</v>
      </c>
      <c r="D70" s="351">
        <f t="shared" si="3"/>
        <v>4.2893385382410706E-2</v>
      </c>
    </row>
    <row r="71" spans="1:9" x14ac:dyDescent="0.3">
      <c r="A71" s="344" t="s">
        <v>149</v>
      </c>
      <c r="B71" s="345">
        <f>Combinée!W75</f>
        <v>123.90934807822457</v>
      </c>
      <c r="C71" s="346">
        <f>Simplifiée!I63</f>
        <v>129.40997920997924</v>
      </c>
      <c r="D71" s="347">
        <f t="shared" si="3"/>
        <v>4.4392382149263658E-2</v>
      </c>
    </row>
    <row r="72" spans="1:9" x14ac:dyDescent="0.3">
      <c r="A72" s="348" t="s">
        <v>150</v>
      </c>
      <c r="B72" s="349">
        <f>Combinée!W76</f>
        <v>125.92413422583797</v>
      </c>
      <c r="C72" s="350">
        <f>Simplifiée!I64</f>
        <v>131.40291514836022</v>
      </c>
      <c r="D72" s="351">
        <f t="shared" si="3"/>
        <v>4.350858519857962E-2</v>
      </c>
    </row>
    <row r="73" spans="1:9" x14ac:dyDescent="0.3">
      <c r="A73" s="344" t="s">
        <v>151</v>
      </c>
      <c r="B73" s="345">
        <f>Combinée!W77</f>
        <v>122.90195500441787</v>
      </c>
      <c r="C73" s="346">
        <f>Simplifiée!I65</f>
        <v>128.41360501567399</v>
      </c>
      <c r="D73" s="347">
        <f t="shared" si="3"/>
        <v>4.4845909986199972E-2</v>
      </c>
    </row>
    <row r="74" spans="1:9" x14ac:dyDescent="0.3">
      <c r="A74" s="348" t="s">
        <v>152</v>
      </c>
      <c r="B74" s="349">
        <f>Combinée!W78</f>
        <v>119.87977578299775</v>
      </c>
      <c r="C74" s="350">
        <f>Simplifiée!I66</f>
        <v>125.07578662733529</v>
      </c>
      <c r="D74" s="351">
        <f t="shared" si="3"/>
        <v>4.334351487062485E-2</v>
      </c>
    </row>
    <row r="75" spans="1:9" x14ac:dyDescent="0.3">
      <c r="A75" s="344" t="s">
        <v>153</v>
      </c>
      <c r="B75" s="345">
        <f>Combinée!W79</f>
        <v>124.91674115203128</v>
      </c>
      <c r="C75" s="346">
        <f>Simplifiée!I67</f>
        <v>130.40641646489104</v>
      </c>
      <c r="D75" s="347">
        <f t="shared" si="3"/>
        <v>4.3946674098538085E-2</v>
      </c>
    </row>
    <row r="76" spans="1:9" x14ac:dyDescent="0.3">
      <c r="A76" s="348" t="s">
        <v>154</v>
      </c>
      <c r="B76" s="349">
        <f>Combinée!W80</f>
        <v>126.93152729964469</v>
      </c>
      <c r="C76" s="350">
        <f>Simplifiée!I68</f>
        <v>132.39947368421053</v>
      </c>
      <c r="D76" s="351">
        <f t="shared" si="3"/>
        <v>4.307792162350476E-2</v>
      </c>
    </row>
    <row r="77" spans="1:9" x14ac:dyDescent="0.3">
      <c r="A77" s="344" t="s">
        <v>155</v>
      </c>
      <c r="B77" s="345">
        <f>Combinée!W81</f>
        <v>120.88716885680446</v>
      </c>
      <c r="C77" s="346">
        <f>Simplifiée!I69</f>
        <v>126.07242877836794</v>
      </c>
      <c r="D77" s="347">
        <f t="shared" si="3"/>
        <v>4.2893385382410706E-2</v>
      </c>
    </row>
    <row r="78" spans="1:9" x14ac:dyDescent="0.3">
      <c r="A78" s="348" t="s">
        <v>156</v>
      </c>
      <c r="B78" s="349">
        <f>Combinée!W82</f>
        <v>141.03503033293853</v>
      </c>
      <c r="C78" s="350">
        <f>Simplifiée!I70</f>
        <v>161.53522753522756</v>
      </c>
      <c r="D78" s="351">
        <f t="shared" si="3"/>
        <v>0.14535535713286712</v>
      </c>
    </row>
    <row r="79" spans="1:9" x14ac:dyDescent="0.3">
      <c r="A79" s="344" t="s">
        <v>157</v>
      </c>
      <c r="B79" s="345">
        <f>Combinée!W83</f>
        <v>137.00545803771172</v>
      </c>
      <c r="C79" s="346">
        <f>Simplifiée!I71</f>
        <v>157.26588003933136</v>
      </c>
      <c r="D79" s="347">
        <f t="shared" si="3"/>
        <v>0.14788040047311707</v>
      </c>
    </row>
    <row r="80" spans="1:9" x14ac:dyDescent="0.3">
      <c r="A80" s="348" t="s">
        <v>158</v>
      </c>
      <c r="B80" s="349">
        <f>Combinée!W84</f>
        <v>140.02763725913184</v>
      </c>
      <c r="C80" s="350">
        <f>Simplifiée!I72</f>
        <v>160.56678683385582</v>
      </c>
      <c r="D80" s="351">
        <f t="shared" si="3"/>
        <v>0.14667925544380009</v>
      </c>
    </row>
    <row r="81" spans="1:9" ht="4.95" customHeight="1" x14ac:dyDescent="0.3">
      <c r="A81" s="48"/>
      <c r="B81" s="48"/>
      <c r="C81" s="48"/>
      <c r="D81" s="48"/>
      <c r="E81" s="48"/>
      <c r="F81" s="48"/>
      <c r="G81" s="48"/>
      <c r="H81" s="48"/>
      <c r="I81" s="48"/>
    </row>
    <row r="82" spans="1:9" ht="19.95" customHeight="1" x14ac:dyDescent="0.3">
      <c r="A82" s="417" t="s">
        <v>483</v>
      </c>
      <c r="B82" s="373"/>
      <c r="C82" s="373"/>
      <c r="D82" s="373"/>
      <c r="E82" s="373"/>
      <c r="F82" s="373"/>
      <c r="G82" s="373"/>
      <c r="H82" s="373"/>
      <c r="I82" s="374"/>
    </row>
    <row r="83" spans="1:9" ht="67.95" customHeight="1" x14ac:dyDescent="0.3">
      <c r="A83" s="458" t="s">
        <v>484</v>
      </c>
      <c r="B83" s="373"/>
      <c r="C83" s="373"/>
      <c r="D83" s="373"/>
      <c r="E83" s="373"/>
      <c r="F83" s="373"/>
      <c r="G83" s="373"/>
      <c r="H83" s="373"/>
      <c r="I83" s="374"/>
    </row>
    <row r="84" spans="1:9" ht="58.05" customHeight="1" x14ac:dyDescent="0.3">
      <c r="A84" s="458" t="s">
        <v>485</v>
      </c>
      <c r="B84" s="373"/>
      <c r="C84" s="373"/>
      <c r="D84" s="373"/>
      <c r="E84" s="373"/>
      <c r="F84" s="373"/>
      <c r="G84" s="373"/>
      <c r="H84" s="373"/>
      <c r="I84" s="374"/>
    </row>
    <row r="85" spans="1:9" ht="4.95" customHeight="1" x14ac:dyDescent="0.3">
      <c r="A85" s="48"/>
      <c r="B85" s="48"/>
      <c r="C85" s="48"/>
      <c r="D85" s="48"/>
      <c r="E85" s="48"/>
      <c r="F85" s="48"/>
      <c r="G85" s="48"/>
      <c r="H85" s="48"/>
      <c r="I85" s="48"/>
    </row>
  </sheetData>
  <mergeCells count="22">
    <mergeCell ref="A37:I37"/>
    <mergeCell ref="A84:I84"/>
    <mergeCell ref="B6:E6"/>
    <mergeCell ref="A18:I18"/>
    <mergeCell ref="B5:E5"/>
    <mergeCell ref="A21:I21"/>
    <mergeCell ref="A52:I52"/>
    <mergeCell ref="A67:I67"/>
    <mergeCell ref="A83:I83"/>
    <mergeCell ref="A82:I82"/>
    <mergeCell ref="A22:I22"/>
    <mergeCell ref="A20:I20"/>
    <mergeCell ref="F6:I6"/>
    <mergeCell ref="F7:I7"/>
    <mergeCell ref="A9:I9"/>
    <mergeCell ref="F5:I5"/>
    <mergeCell ref="A1:I1"/>
    <mergeCell ref="A16:I16"/>
    <mergeCell ref="A2:I2"/>
    <mergeCell ref="A17:I17"/>
    <mergeCell ref="B7:E7"/>
    <mergeCell ref="A4:I4"/>
  </mergeCells>
  <conditionalFormatting sqref="D24:D35">
    <cfRule type="colorScale" priority="1">
      <colorScale>
        <cfvo type="num" val="0"/>
        <cfvo type="num" val="0.06"/>
        <cfvo type="num" val="0.12"/>
        <color rgb="FFC8E6C9"/>
        <color rgb="FFFFF2CC"/>
        <color rgb="FFFCE4D6"/>
      </colorScale>
    </cfRule>
  </conditionalFormatting>
  <conditionalFormatting sqref="D39:D50">
    <cfRule type="colorScale" priority="2">
      <colorScale>
        <cfvo type="num" val="0"/>
        <cfvo type="num" val="0.06"/>
        <cfvo type="num" val="0.12"/>
        <color rgb="FFC8E6C9"/>
        <color rgb="FFFFF2CC"/>
        <color rgb="FFFCE4D6"/>
      </colorScale>
    </cfRule>
  </conditionalFormatting>
  <conditionalFormatting sqref="D54:D65">
    <cfRule type="colorScale" priority="3">
      <colorScale>
        <cfvo type="num" val="0"/>
        <cfvo type="num" val="0.06"/>
        <cfvo type="num" val="0.12"/>
        <color rgb="FFC8E6C9"/>
        <color rgb="FFFFF2CC"/>
        <color rgb="FFFCE4D6"/>
      </colorScale>
    </cfRule>
  </conditionalFormatting>
  <conditionalFormatting sqref="D69:D80">
    <cfRule type="colorScale" priority="4">
      <colorScale>
        <cfvo type="num" val="0"/>
        <cfvo type="num" val="0.06"/>
        <cfvo type="num" val="0.12"/>
        <color rgb="FFC8E6C9"/>
        <color rgb="FFFFF2CC"/>
        <color rgb="FFFCE4D6"/>
      </colorScale>
    </cfRule>
  </conditionalFormatting>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
  <sheetViews>
    <sheetView workbookViewId="0"/>
  </sheetViews>
  <sheetFormatPr defaultRowHeight="14.4" x14ac:dyDescent="0.3"/>
  <sheetData>
    <row r="1" spans="1:10" ht="31.95" customHeight="1" x14ac:dyDescent="0.3">
      <c r="A1" s="403" t="s">
        <v>486</v>
      </c>
      <c r="B1" s="373"/>
      <c r="C1" s="373"/>
      <c r="D1" s="373"/>
      <c r="E1" s="373"/>
      <c r="F1" s="373"/>
      <c r="G1" s="373"/>
      <c r="H1" s="373"/>
      <c r="I1" s="373"/>
      <c r="J1" s="374"/>
    </row>
    <row r="2" spans="1:10" ht="19.95" customHeight="1" x14ac:dyDescent="0.3">
      <c r="A2" s="400" t="s">
        <v>487</v>
      </c>
      <c r="B2" s="373"/>
      <c r="C2" s="373"/>
      <c r="D2" s="373"/>
      <c r="E2" s="373"/>
      <c r="F2" s="373"/>
      <c r="G2" s="373"/>
      <c r="H2" s="373"/>
      <c r="I2" s="373"/>
      <c r="J2" s="374"/>
    </row>
  </sheetData>
  <mergeCells count="2">
    <mergeCell ref="A1:J1"/>
    <mergeCell ref="A2:J2"/>
  </mergeCells>
  <pageMargins left="0.75" right="0.75" top="1" bottom="1" header="0.5" footer="0.5"/>
  <headerFooter>
    <oddFooter>&amp;C&amp;8 &amp;K888888ThinknSolv © copyright 2026 CONFIDENTIEL</oddFooter>
    <evenFooter>&amp;C&amp;8 &amp;K888888ThinknSolv © copyright 2026 CONFIDENTIEL</even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C65"/>
  <sheetViews>
    <sheetView workbookViewId="0">
      <pane xSplit="1" ySplit="6" topLeftCell="B7" activePane="bottomRight" state="frozen"/>
      <selection pane="topRight"/>
      <selection pane="bottomLeft"/>
      <selection pane="bottomRight"/>
    </sheetView>
  </sheetViews>
  <sheetFormatPr defaultRowHeight="14.4" x14ac:dyDescent="0.3"/>
  <cols>
    <col min="1" max="1" width="7" customWidth="1"/>
    <col min="2" max="14" width="13" customWidth="1"/>
    <col min="15" max="16" width="22" customWidth="1"/>
    <col min="17" max="18" width="13" customWidth="1"/>
    <col min="19" max="19" width="22" customWidth="1"/>
    <col min="20" max="29" width="13" customWidth="1"/>
    <col min="30" max="30" width="16" customWidth="1"/>
    <col min="37" max="37" width="16" customWidth="1"/>
    <col min="44" max="49" width="11" customWidth="1"/>
    <col min="50" max="55" width="13" customWidth="1"/>
  </cols>
  <sheetData>
    <row r="1" spans="1:55" ht="30" customHeight="1" x14ac:dyDescent="0.3">
      <c r="A1" s="464" t="s">
        <v>488</v>
      </c>
      <c r="B1" s="373"/>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4"/>
    </row>
    <row r="3" spans="1:55" x14ac:dyDescent="0.3">
      <c r="A3" s="352" t="s">
        <v>489</v>
      </c>
      <c r="B3" s="353">
        <v>0.15</v>
      </c>
      <c r="C3" s="352" t="s">
        <v>490</v>
      </c>
      <c r="D3" s="353">
        <v>0.1</v>
      </c>
      <c r="E3" s="352" t="s">
        <v>491</v>
      </c>
      <c r="F3" s="353">
        <v>0.7</v>
      </c>
      <c r="G3" s="352" t="s">
        <v>492</v>
      </c>
      <c r="H3" s="353">
        <v>0.02</v>
      </c>
      <c r="I3" s="352" t="s">
        <v>493</v>
      </c>
      <c r="J3" s="353">
        <v>0.02</v>
      </c>
      <c r="K3" s="352" t="s">
        <v>494</v>
      </c>
      <c r="L3" s="353">
        <v>0.85</v>
      </c>
      <c r="M3" s="352" t="s">
        <v>495</v>
      </c>
      <c r="N3" s="353">
        <v>2.2010000000000001</v>
      </c>
      <c r="O3" s="352" t="s">
        <v>496</v>
      </c>
      <c r="P3" s="353">
        <v>0.05</v>
      </c>
    </row>
    <row r="5" spans="1:55" x14ac:dyDescent="0.3">
      <c r="B5" s="470" t="s">
        <v>497</v>
      </c>
      <c r="C5" s="378"/>
      <c r="D5" s="378"/>
      <c r="E5" s="378"/>
      <c r="F5" s="378"/>
      <c r="G5" s="378"/>
      <c r="H5" s="378"/>
      <c r="I5" s="467" t="s">
        <v>498</v>
      </c>
      <c r="J5" s="378"/>
      <c r="K5" s="378"/>
      <c r="L5" s="378"/>
      <c r="M5" s="378"/>
      <c r="N5" s="378"/>
      <c r="O5" s="378"/>
      <c r="P5" s="463" t="s">
        <v>499</v>
      </c>
      <c r="Q5" s="378"/>
      <c r="R5" s="378"/>
      <c r="S5" s="378"/>
      <c r="T5" s="466" t="s">
        <v>500</v>
      </c>
      <c r="U5" s="378"/>
      <c r="V5" s="378"/>
      <c r="W5" s="378"/>
      <c r="X5" s="378"/>
      <c r="Y5" s="378"/>
      <c r="Z5" s="468" t="s">
        <v>501</v>
      </c>
      <c r="AA5" s="378"/>
      <c r="AB5" s="378"/>
      <c r="AC5" s="469" t="s">
        <v>502</v>
      </c>
      <c r="AE5" s="465" t="s">
        <v>503</v>
      </c>
      <c r="AF5" s="378"/>
      <c r="AG5" s="378"/>
      <c r="AH5" s="378"/>
      <c r="AI5" s="378"/>
      <c r="AJ5" s="378"/>
      <c r="AK5" s="378"/>
      <c r="AL5" s="378"/>
      <c r="AM5" s="378"/>
      <c r="AN5" s="378"/>
      <c r="AO5" s="378"/>
      <c r="AP5" s="378"/>
      <c r="AQ5" s="378"/>
      <c r="AR5" s="466" t="s">
        <v>504</v>
      </c>
      <c r="AS5" s="378"/>
      <c r="AT5" s="378"/>
      <c r="AU5" s="378"/>
      <c r="AV5" s="378"/>
      <c r="AW5" s="378"/>
      <c r="AX5" s="469" t="s">
        <v>505</v>
      </c>
      <c r="AY5" s="378"/>
      <c r="AZ5" s="378"/>
      <c r="BA5" s="378"/>
      <c r="BB5" s="378"/>
      <c r="BC5" s="378"/>
    </row>
    <row r="6" spans="1:55" x14ac:dyDescent="0.3">
      <c r="A6" s="354" t="s">
        <v>2</v>
      </c>
      <c r="B6" s="354" t="s">
        <v>143</v>
      </c>
      <c r="C6" s="354" t="s">
        <v>144</v>
      </c>
      <c r="D6" s="354" t="s">
        <v>3</v>
      </c>
      <c r="E6" s="354" t="s">
        <v>4</v>
      </c>
      <c r="F6" s="354" t="s">
        <v>5</v>
      </c>
      <c r="G6" s="354" t="s">
        <v>145</v>
      </c>
      <c r="H6" s="354" t="s">
        <v>146</v>
      </c>
      <c r="I6" s="354" t="s">
        <v>506</v>
      </c>
      <c r="J6" s="354" t="s">
        <v>266</v>
      </c>
      <c r="K6" s="354" t="s">
        <v>267</v>
      </c>
      <c r="L6" s="354" t="s">
        <v>260</v>
      </c>
      <c r="M6" s="354" t="s">
        <v>261</v>
      </c>
      <c r="N6" s="354" t="s">
        <v>262</v>
      </c>
      <c r="O6" s="354" t="s">
        <v>507</v>
      </c>
      <c r="P6" s="354" t="s">
        <v>508</v>
      </c>
      <c r="Q6" s="354" t="s">
        <v>509</v>
      </c>
      <c r="R6" s="354" t="s">
        <v>510</v>
      </c>
      <c r="S6" s="354" t="s">
        <v>511</v>
      </c>
      <c r="T6" s="354" t="s">
        <v>512</v>
      </c>
      <c r="U6" s="354" t="s">
        <v>513</v>
      </c>
      <c r="V6" s="354" t="s">
        <v>514</v>
      </c>
      <c r="W6" s="354" t="s">
        <v>515</v>
      </c>
      <c r="X6" s="354" t="s">
        <v>516</v>
      </c>
      <c r="Y6" s="354" t="s">
        <v>517</v>
      </c>
      <c r="Z6" s="354" t="s">
        <v>518</v>
      </c>
      <c r="AA6" s="354" t="s">
        <v>519</v>
      </c>
      <c r="AB6" s="354" t="s">
        <v>520</v>
      </c>
      <c r="AC6" s="354" t="s">
        <v>521</v>
      </c>
      <c r="AD6" s="354" t="s">
        <v>522</v>
      </c>
      <c r="AK6" s="354" t="s">
        <v>523</v>
      </c>
      <c r="AR6" s="354" t="s">
        <v>524</v>
      </c>
      <c r="AS6" s="354" t="s">
        <v>525</v>
      </c>
      <c r="AT6" s="354" t="s">
        <v>526</v>
      </c>
      <c r="AU6" s="354" t="s">
        <v>527</v>
      </c>
      <c r="AV6" s="354" t="s">
        <v>528</v>
      </c>
      <c r="AW6" s="354" t="s">
        <v>529</v>
      </c>
      <c r="AX6" s="354" t="s">
        <v>530</v>
      </c>
      <c r="AY6" s="354" t="s">
        <v>531</v>
      </c>
      <c r="AZ6" s="354" t="s">
        <v>532</v>
      </c>
      <c r="BA6" s="354" t="s">
        <v>533</v>
      </c>
      <c r="BB6" s="354" t="s">
        <v>534</v>
      </c>
      <c r="BC6" s="354" t="s">
        <v>535</v>
      </c>
    </row>
    <row r="7" spans="1:55" x14ac:dyDescent="0.3">
      <c r="A7" s="355" t="s">
        <v>536</v>
      </c>
      <c r="AE7" s="352" t="s">
        <v>537</v>
      </c>
      <c r="AF7" s="356">
        <f>AVERAGE(AD8:AD19)</f>
        <v>2.3411770084498257E-2</v>
      </c>
      <c r="AL7" s="352" t="s">
        <v>537</v>
      </c>
      <c r="AM7" s="356">
        <f>AVERAGE(AK8:AK19)</f>
        <v>2.3349053416976295E-2</v>
      </c>
    </row>
    <row r="8" spans="1:55" x14ac:dyDescent="0.3">
      <c r="A8" s="352" t="s">
        <v>147</v>
      </c>
      <c r="B8" s="357">
        <v>77</v>
      </c>
      <c r="C8" s="357">
        <v>79</v>
      </c>
      <c r="D8" s="357">
        <v>81</v>
      </c>
      <c r="E8" s="357">
        <v>83</v>
      </c>
      <c r="F8" s="357">
        <v>85</v>
      </c>
      <c r="G8" s="352">
        <v>0</v>
      </c>
      <c r="H8" s="356">
        <v>0</v>
      </c>
      <c r="I8" s="352">
        <f t="shared" ref="I8:I19" si="0">MEDIAN(C8/B8,D8/C8,E8/D8,F8/E8)</f>
        <v>1.0250039068604471</v>
      </c>
      <c r="J8" s="357">
        <f t="shared" ref="J8:J19" si="1">B8</f>
        <v>77</v>
      </c>
      <c r="K8" s="357">
        <f t="shared" ref="K8:K19" si="2">IF(ABS(C8-J8*I8)/(J8*I8)&gt;$B$3,J8*I8,C8)</f>
        <v>79</v>
      </c>
      <c r="L8" s="357">
        <f t="shared" ref="L8:L19" si="3">IF(ABS(D8-K8*I8)/(K8*I8)&gt;$B$3,K8*I8,D8)</f>
        <v>81</v>
      </c>
      <c r="M8" s="357">
        <f t="shared" ref="M8:M19" si="4">IF(ABS(E8-L8*I8)/(L8*I8)&gt;$B$3,L8*I8,E8)</f>
        <v>83</v>
      </c>
      <c r="N8" s="357">
        <f t="shared" ref="N8:N19" si="5">IF(ABS(F8-M8*I8)/(M8*I8)&gt;$B$3,M8*I8,F8)</f>
        <v>85</v>
      </c>
      <c r="O8" s="352" t="str">
        <f t="shared" ref="O8:O19" si="6">TRIM(IF(K8&lt;&gt;C8,"⚠Y-4 ","")&amp;IF(L8&lt;&gt;D8,"⚠Y-3 ","")&amp;IF(M8&lt;&gt;E8,"⚠Y-2 ","")&amp;IF(N8&lt;&gt;F8,"⚠Y-1 ",""))</f>
        <v/>
      </c>
      <c r="P8" s="352" t="str">
        <f t="shared" ref="P8:P19" si="7">IF(SIGN((F8/E8-1))&lt;&gt;SIGN((E8/D8-1)),"⚠ retournement (brut)",IF(ABS((F8/E8-1)-(E8/D8-1))&gt;$D$3,"⚡ accélération (brut)",""))</f>
        <v/>
      </c>
      <c r="Q8" s="356">
        <f t="shared" ref="Q8:Q19" si="8">N8/M8-1</f>
        <v>2.4096385542168752E-2</v>
      </c>
      <c r="R8" s="356">
        <f t="shared" ref="R8:R19" si="9">M8/L8-1</f>
        <v>2.4691358024691468E-2</v>
      </c>
      <c r="S8" s="352" t="str">
        <f t="shared" ref="S8:S19" si="10">IF(SIGN(Q8)&lt;&gt;SIGN(R8),"⚠ retournement",IF(ABS(Q8-R8)&gt;$D$3,"⚡ accélération",""))</f>
        <v/>
      </c>
      <c r="T8" s="357">
        <f t="shared" ref="T8:T19" si="11">M8*($F$3*M8/L8+(1-$F$3)*L8/K8)</f>
        <v>85.064947648070017</v>
      </c>
      <c r="U8" s="356">
        <f t="shared" ref="U8:U19" si="12">ABS(T8-N8)/N8</f>
        <v>7.6408997729432112E-4</v>
      </c>
      <c r="V8" s="357">
        <f t="shared" ref="V8:V19" si="13">M8*($F$3*M8/L8+(1-$F$3)*(M8/J8)^(1/3))</f>
        <v>85.065213840487033</v>
      </c>
      <c r="W8" s="356">
        <f t="shared" ref="W8:W19" si="14">ABS(V8-N8)/N8</f>
        <v>7.6722165278862145E-4</v>
      </c>
      <c r="X8" s="357">
        <f t="shared" ref="X8:X19" si="15">M8*(1+$AM$15)</f>
        <v>84.937971433609022</v>
      </c>
      <c r="Y8" s="356">
        <f t="shared" ref="Y8:Y19" si="16">ABS(X8-N8)/N8</f>
        <v>7.2974783989386246E-4</v>
      </c>
      <c r="Z8" s="357">
        <f t="shared" ref="Z8:Z19" si="17">N8*($F$3*N8/M8+(1-$F$3)*M8/L8)*(1+G8*H8)</f>
        <v>87.063364569388668</v>
      </c>
      <c r="AA8" s="357">
        <f t="shared" ref="AA8:AA19" si="18">N8*($F$3*N8/M8+(1-$F$3)*(N8/J8)^(1/4))*(1+G8*H8)</f>
        <v>87.071727533523656</v>
      </c>
      <c r="AB8" s="357">
        <f t="shared" ref="AB8:AB19" si="19">N8*(1+$AF$15)*(1+G8*H8)</f>
        <v>86.990000457182347</v>
      </c>
      <c r="AC8" s="357">
        <f t="shared" ref="AC8:AC19" si="20">IF(ISNUMBER(SEARCH("H1",$AF$14)),Z8,AB8)</f>
        <v>87.063364569388668</v>
      </c>
      <c r="AD8" s="356">
        <f t="shared" ref="AD8:AD19" si="21">(N8/J8)^0.25-1</f>
        <v>2.501931740253438E-2</v>
      </c>
      <c r="AE8" s="352" t="s">
        <v>538</v>
      </c>
      <c r="AF8" s="356">
        <f>AVERAGE(Q8:Q10)</f>
        <v>2.3451023344715754E-2</v>
      </c>
      <c r="AG8" s="352" t="s">
        <v>539</v>
      </c>
      <c r="AH8" s="356">
        <f>(SUM(Q8:Q19)-SUM(Q8:Q10))/9</f>
        <v>2.3659561520631596E-2</v>
      </c>
      <c r="AI8" s="352" t="s">
        <v>204</v>
      </c>
      <c r="AJ8" s="356">
        <f>ABS(AF8-AH8)</f>
        <v>2.0853817591584209E-4</v>
      </c>
      <c r="AK8" s="356">
        <f t="shared" ref="AK8:AK19" si="22">(M8/J8)^(1/3)-1</f>
        <v>2.5327146154717539E-2</v>
      </c>
      <c r="AL8" s="352" t="s">
        <v>538</v>
      </c>
      <c r="AM8" s="356">
        <f>AVERAGE(R8:R10)</f>
        <v>2.4014519173449544E-2</v>
      </c>
      <c r="AN8" s="352" t="s">
        <v>539</v>
      </c>
      <c r="AO8" s="356">
        <f>(SUM(R8:R19)-SUM(R8:R10))/9</f>
        <v>2.2430538764757771E-2</v>
      </c>
      <c r="AP8" s="352" t="s">
        <v>204</v>
      </c>
      <c r="AQ8" s="356">
        <f>ABS(AM8-AO8)</f>
        <v>1.5839804086917736E-3</v>
      </c>
      <c r="AR8" s="356">
        <f t="shared" ref="AR8:AR19" si="23">(T8-N8)/N8</f>
        <v>7.6408997729432112E-4</v>
      </c>
      <c r="AS8" s="356">
        <f t="shared" ref="AS8:AS19" si="24">(V8-N8)/N8</f>
        <v>7.6722165278862145E-4</v>
      </c>
      <c r="AT8" s="356">
        <f t="shared" ref="AT8:AT19" si="25">(X8-N8)/N8</f>
        <v>-7.2974783989386246E-4</v>
      </c>
      <c r="AX8" s="356">
        <f t="shared" ref="AX8:AX19" si="26">L8/K8-1</f>
        <v>2.5316455696202445E-2</v>
      </c>
      <c r="AY8" s="357">
        <f t="shared" ref="AY8:AY19" si="27">IF(OR(ABS(R8-AX8)&lt;$P$3,ABS(R8-$R$20)&lt;$P$3),M8*(1+R8),M8*(1+R8*$R$20/$AX$20))</f>
        <v>85.049382716049394</v>
      </c>
      <c r="AZ8" s="356">
        <f t="shared" ref="AZ8:AZ19" si="28">ABS(AY8-N8)/N8</f>
        <v>5.8097312999286579E-4</v>
      </c>
      <c r="BA8" s="357">
        <f t="shared" ref="BA8:BA19" si="29">IF(OR(ABS(Q8-R8)&lt;$P$3,ABS(Q8-$Q$20)&lt;$P$3),N8*(1+Q8)*(1+G8*H8),N8*(1+Q8*$R$20/$Q$20)*(1+G8*H8))</f>
        <v>87.048192771084345</v>
      </c>
      <c r="BB8" s="356">
        <f t="shared" ref="BB8:BB19" si="30">(AY8-N8)/N8</f>
        <v>5.8097312999286579E-4</v>
      </c>
    </row>
    <row r="9" spans="1:55" x14ac:dyDescent="0.3">
      <c r="A9" s="352" t="s">
        <v>148</v>
      </c>
      <c r="B9" s="357">
        <v>79</v>
      </c>
      <c r="C9" s="357">
        <v>81</v>
      </c>
      <c r="D9" s="357">
        <v>83</v>
      </c>
      <c r="E9" s="357">
        <v>85</v>
      </c>
      <c r="F9" s="357">
        <v>87</v>
      </c>
      <c r="G9" s="352">
        <v>1</v>
      </c>
      <c r="H9" s="356">
        <v>0.1</v>
      </c>
      <c r="I9" s="352">
        <f t="shared" si="0"/>
        <v>1.0243938717834302</v>
      </c>
      <c r="J9" s="357">
        <f t="shared" si="1"/>
        <v>79</v>
      </c>
      <c r="K9" s="357">
        <f t="shared" si="2"/>
        <v>81</v>
      </c>
      <c r="L9" s="357">
        <f t="shared" si="3"/>
        <v>83</v>
      </c>
      <c r="M9" s="357">
        <f t="shared" si="4"/>
        <v>85</v>
      </c>
      <c r="N9" s="357">
        <f t="shared" si="5"/>
        <v>87</v>
      </c>
      <c r="O9" s="352" t="str">
        <f t="shared" si="6"/>
        <v/>
      </c>
      <c r="P9" s="352" t="str">
        <f t="shared" si="7"/>
        <v/>
      </c>
      <c r="Q9" s="356">
        <f t="shared" si="8"/>
        <v>2.3529411764705799E-2</v>
      </c>
      <c r="R9" s="356">
        <f t="shared" si="9"/>
        <v>2.4096385542168752E-2</v>
      </c>
      <c r="S9" s="352" t="str">
        <f t="shared" si="10"/>
        <v/>
      </c>
      <c r="T9" s="357">
        <f t="shared" si="11"/>
        <v>87.063364569388668</v>
      </c>
      <c r="U9" s="356">
        <f t="shared" si="12"/>
        <v>7.2832838377779024E-4</v>
      </c>
      <c r="V9" s="357">
        <f t="shared" si="13"/>
        <v>87.063617545936125</v>
      </c>
      <c r="W9" s="356">
        <f t="shared" si="14"/>
        <v>7.3123616018535003E-4</v>
      </c>
      <c r="X9" s="357">
        <f t="shared" si="15"/>
        <v>86.984669540442979</v>
      </c>
      <c r="Y9" s="356">
        <f t="shared" si="16"/>
        <v>1.7621217881632763E-4</v>
      </c>
      <c r="Z9" s="357">
        <f t="shared" si="17"/>
        <v>97.968042523033333</v>
      </c>
      <c r="AA9" s="357">
        <f t="shared" si="18"/>
        <v>97.976994320543682</v>
      </c>
      <c r="AB9" s="357">
        <f t="shared" si="19"/>
        <v>97.940506397086494</v>
      </c>
      <c r="AC9" s="357">
        <f t="shared" si="20"/>
        <v>97.968042523033333</v>
      </c>
      <c r="AD9" s="356">
        <f t="shared" si="21"/>
        <v>2.4408186221735573E-2</v>
      </c>
      <c r="AE9" s="352" t="s">
        <v>540</v>
      </c>
      <c r="AF9" s="356">
        <f>AVERAGE(Q11:Q13)</f>
        <v>2.3918898595901201E-2</v>
      </c>
      <c r="AG9" s="352" t="s">
        <v>539</v>
      </c>
      <c r="AH9" s="356">
        <f>(SUM(Q8:Q19)-SUM(Q11:Q13))/9</f>
        <v>2.3503603103569779E-2</v>
      </c>
      <c r="AI9" s="352" t="s">
        <v>204</v>
      </c>
      <c r="AJ9" s="356">
        <f>ABS(AF9-AH9)</f>
        <v>4.1529549233142171E-4</v>
      </c>
      <c r="AK9" s="356">
        <f t="shared" si="22"/>
        <v>2.4701278673611382E-2</v>
      </c>
      <c r="AL9" s="352" t="s">
        <v>540</v>
      </c>
      <c r="AM9" s="356">
        <f>AVERAGE(R11:R13)</f>
        <v>2.450540780272174E-2</v>
      </c>
      <c r="AN9" s="352" t="s">
        <v>539</v>
      </c>
      <c r="AO9" s="356">
        <f>(SUM(R8:R19)-SUM(R11:R13))/9</f>
        <v>2.2266909221667037E-2</v>
      </c>
      <c r="AP9" s="352" t="s">
        <v>204</v>
      </c>
      <c r="AQ9" s="356">
        <f>ABS(AM9-AO9)</f>
        <v>2.2384985810547028E-3</v>
      </c>
      <c r="AR9" s="356">
        <f t="shared" si="23"/>
        <v>7.2832838377779024E-4</v>
      </c>
      <c r="AS9" s="356">
        <f t="shared" si="24"/>
        <v>7.3123616018535003E-4</v>
      </c>
      <c r="AT9" s="356">
        <f t="shared" si="25"/>
        <v>-1.7621217881632763E-4</v>
      </c>
      <c r="AX9" s="356">
        <f t="shared" si="26"/>
        <v>2.4691358024691468E-2</v>
      </c>
      <c r="AY9" s="357">
        <f t="shared" si="27"/>
        <v>87.048192771084345</v>
      </c>
      <c r="AZ9" s="356">
        <f t="shared" si="28"/>
        <v>5.5393989752120757E-4</v>
      </c>
      <c r="BA9" s="357">
        <f t="shared" si="29"/>
        <v>97.95176470588234</v>
      </c>
      <c r="BB9" s="356">
        <f t="shared" si="30"/>
        <v>5.5393989752120757E-4</v>
      </c>
    </row>
    <row r="10" spans="1:55" x14ac:dyDescent="0.3">
      <c r="A10" s="352" t="s">
        <v>149</v>
      </c>
      <c r="B10" s="357">
        <v>82</v>
      </c>
      <c r="C10" s="357">
        <v>84</v>
      </c>
      <c r="D10" s="357">
        <v>86</v>
      </c>
      <c r="E10" s="357">
        <v>88</v>
      </c>
      <c r="F10" s="357">
        <v>90</v>
      </c>
      <c r="G10" s="352">
        <v>1</v>
      </c>
      <c r="H10" s="356">
        <v>0.1</v>
      </c>
      <c r="I10" s="352">
        <f t="shared" si="0"/>
        <v>1.0235326688815061</v>
      </c>
      <c r="J10" s="357">
        <f t="shared" si="1"/>
        <v>82</v>
      </c>
      <c r="K10" s="357">
        <f t="shared" si="2"/>
        <v>84</v>
      </c>
      <c r="L10" s="357">
        <f t="shared" si="3"/>
        <v>86</v>
      </c>
      <c r="M10" s="357">
        <f t="shared" si="4"/>
        <v>88</v>
      </c>
      <c r="N10" s="357">
        <f t="shared" si="5"/>
        <v>90</v>
      </c>
      <c r="O10" s="352" t="str">
        <f t="shared" si="6"/>
        <v/>
      </c>
      <c r="P10" s="352" t="str">
        <f t="shared" si="7"/>
        <v/>
      </c>
      <c r="Q10" s="356">
        <f t="shared" si="8"/>
        <v>2.2727272727272707E-2</v>
      </c>
      <c r="R10" s="356">
        <f t="shared" si="9"/>
        <v>2.3255813953488413E-2</v>
      </c>
      <c r="S10" s="352" t="str">
        <f t="shared" si="10"/>
        <v/>
      </c>
      <c r="T10" s="357">
        <f t="shared" si="11"/>
        <v>90.061129568106324</v>
      </c>
      <c r="U10" s="356">
        <f t="shared" si="12"/>
        <v>6.792174234035997E-4</v>
      </c>
      <c r="V10" s="357">
        <f t="shared" si="13"/>
        <v>90.061364492310759</v>
      </c>
      <c r="W10" s="356">
        <f t="shared" si="14"/>
        <v>6.8182769234176202E-4</v>
      </c>
      <c r="X10" s="357">
        <f t="shared" si="15"/>
        <v>90.054716700693916</v>
      </c>
      <c r="Y10" s="356">
        <f t="shared" si="16"/>
        <v>6.0796334104351341E-4</v>
      </c>
      <c r="Z10" s="357">
        <f t="shared" si="17"/>
        <v>101.26569767441862</v>
      </c>
      <c r="AA10" s="357">
        <f t="shared" si="18"/>
        <v>101.27430212016522</v>
      </c>
      <c r="AB10" s="357">
        <f t="shared" si="19"/>
        <v>101.31776523836534</v>
      </c>
      <c r="AC10" s="357">
        <f t="shared" si="20"/>
        <v>101.26569767441862</v>
      </c>
      <c r="AD10" s="356">
        <f t="shared" si="21"/>
        <v>2.3545525931488509E-2</v>
      </c>
      <c r="AE10" s="352" t="s">
        <v>541</v>
      </c>
      <c r="AF10" s="356">
        <f>AVERAGE(Q14:Q16)</f>
        <v>2.2493570238609834E-2</v>
      </c>
      <c r="AG10" s="352" t="s">
        <v>539</v>
      </c>
      <c r="AH10" s="356">
        <f>(SUM(Q8:Q19)-SUM(Q14:Q16))/9</f>
        <v>2.3978712556000235E-2</v>
      </c>
      <c r="AI10" s="352" t="s">
        <v>204</v>
      </c>
      <c r="AJ10" s="356">
        <f>ABS(AF10-AH10)</f>
        <v>1.4851423173904005E-3</v>
      </c>
      <c r="AK10" s="356">
        <f t="shared" si="22"/>
        <v>2.3818422453631971E-2</v>
      </c>
      <c r="AL10" s="352" t="s">
        <v>541</v>
      </c>
      <c r="AM10" s="356">
        <f>AVERAGE(R14:R16)</f>
        <v>2.3013712442024586E-2</v>
      </c>
      <c r="AN10" s="352" t="s">
        <v>539</v>
      </c>
      <c r="AO10" s="356">
        <f>(SUM(R8:R19)-SUM(R14:R16))/9</f>
        <v>2.276414100856609E-2</v>
      </c>
      <c r="AP10" s="352" t="s">
        <v>204</v>
      </c>
      <c r="AQ10" s="356">
        <f>ABS(AM10-AO10)</f>
        <v>2.4957143345849531E-4</v>
      </c>
      <c r="AR10" s="356">
        <f t="shared" si="23"/>
        <v>6.792174234035997E-4</v>
      </c>
      <c r="AS10" s="356">
        <f t="shared" si="24"/>
        <v>6.8182769234176202E-4</v>
      </c>
      <c r="AT10" s="356">
        <f t="shared" si="25"/>
        <v>6.0796334104351341E-4</v>
      </c>
      <c r="AX10" s="356">
        <f t="shared" si="26"/>
        <v>2.3809523809523725E-2</v>
      </c>
      <c r="AY10" s="357">
        <f t="shared" si="27"/>
        <v>90.04651162790698</v>
      </c>
      <c r="AZ10" s="356">
        <f t="shared" si="28"/>
        <v>5.1679586563311533E-4</v>
      </c>
      <c r="BA10" s="357">
        <f t="shared" si="29"/>
        <v>101.25000000000001</v>
      </c>
      <c r="BB10" s="356">
        <f t="shared" si="30"/>
        <v>5.1679586563311533E-4</v>
      </c>
    </row>
    <row r="11" spans="1:55" x14ac:dyDescent="0.3">
      <c r="A11" s="352" t="s">
        <v>150</v>
      </c>
      <c r="B11" s="357">
        <v>80</v>
      </c>
      <c r="C11" s="357">
        <v>82</v>
      </c>
      <c r="D11" s="357">
        <v>84</v>
      </c>
      <c r="E11" s="357">
        <v>86</v>
      </c>
      <c r="F11" s="357">
        <v>88</v>
      </c>
      <c r="G11" s="352">
        <v>0</v>
      </c>
      <c r="H11" s="356">
        <v>0</v>
      </c>
      <c r="I11" s="352">
        <f t="shared" si="0"/>
        <v>1.0240998838559814</v>
      </c>
      <c r="J11" s="357">
        <f t="shared" si="1"/>
        <v>80</v>
      </c>
      <c r="K11" s="357">
        <f t="shared" si="2"/>
        <v>82</v>
      </c>
      <c r="L11" s="357">
        <f t="shared" si="3"/>
        <v>84</v>
      </c>
      <c r="M11" s="357">
        <f t="shared" si="4"/>
        <v>86</v>
      </c>
      <c r="N11" s="357">
        <f t="shared" si="5"/>
        <v>88</v>
      </c>
      <c r="O11" s="352" t="str">
        <f t="shared" si="6"/>
        <v/>
      </c>
      <c r="P11" s="352" t="str">
        <f t="shared" si="7"/>
        <v/>
      </c>
      <c r="Q11" s="356">
        <f t="shared" si="8"/>
        <v>2.3255813953488413E-2</v>
      </c>
      <c r="R11" s="356">
        <f t="shared" si="9"/>
        <v>2.3809523809523725E-2</v>
      </c>
      <c r="S11" s="352" t="str">
        <f t="shared" si="10"/>
        <v/>
      </c>
      <c r="T11" s="357">
        <f t="shared" si="11"/>
        <v>88.06260162601626</v>
      </c>
      <c r="U11" s="356">
        <f t="shared" si="12"/>
        <v>7.1138211382113718E-4</v>
      </c>
      <c r="V11" s="357">
        <f t="shared" si="13"/>
        <v>88.062848360618958</v>
      </c>
      <c r="W11" s="356">
        <f t="shared" si="14"/>
        <v>7.1418591612451815E-4</v>
      </c>
      <c r="X11" s="357">
        <f t="shared" si="15"/>
        <v>88.008018593859958</v>
      </c>
      <c r="Y11" s="356">
        <f t="shared" si="16"/>
        <v>9.1120384772254553E-5</v>
      </c>
      <c r="Z11" s="357">
        <f t="shared" si="17"/>
        <v>90.061129568106324</v>
      </c>
      <c r="AA11" s="357">
        <f t="shared" si="18"/>
        <v>90.069159531364235</v>
      </c>
      <c r="AB11" s="357">
        <f t="shared" si="19"/>
        <v>90.060235767435842</v>
      </c>
      <c r="AC11" s="357">
        <f t="shared" si="20"/>
        <v>90.061129568106324</v>
      </c>
      <c r="AD11" s="356">
        <f t="shared" si="21"/>
        <v>2.4113689084445111E-2</v>
      </c>
      <c r="AE11" s="352" t="s">
        <v>542</v>
      </c>
      <c r="AF11" s="356">
        <f>AVERAGE(Q17:Q19)</f>
        <v>2.4566215727383749E-2</v>
      </c>
      <c r="AG11" s="352" t="s">
        <v>539</v>
      </c>
      <c r="AH11" s="356">
        <f>(SUM(Q8:Q19)-SUM(Q17:Q19))/9</f>
        <v>2.3287830726408928E-2</v>
      </c>
      <c r="AI11" s="352" t="s">
        <v>204</v>
      </c>
      <c r="AJ11" s="356">
        <f>ABS(AF11-AH11)</f>
        <v>1.2783850009748209E-3</v>
      </c>
      <c r="AK11" s="356">
        <f t="shared" si="22"/>
        <v>2.4399807259133155E-2</v>
      </c>
      <c r="AL11" s="352" t="s">
        <v>542</v>
      </c>
      <c r="AM11" s="356">
        <f>AVERAGE(R17:R19)</f>
        <v>1.9772496049526984E-2</v>
      </c>
      <c r="AN11" s="352" t="s">
        <v>539</v>
      </c>
      <c r="AO11" s="356">
        <f>(SUM(R8:R19)-SUM(R17:R19))/9</f>
        <v>2.3844546472731955E-2</v>
      </c>
      <c r="AP11" s="352" t="s">
        <v>204</v>
      </c>
      <c r="AQ11" s="356">
        <f>ABS(AM11-AO11)</f>
        <v>4.0720504232049717E-3</v>
      </c>
      <c r="AR11" s="356">
        <f t="shared" si="23"/>
        <v>7.1138211382113718E-4</v>
      </c>
      <c r="AS11" s="356">
        <f t="shared" si="24"/>
        <v>7.1418591612451815E-4</v>
      </c>
      <c r="AT11" s="356">
        <f t="shared" si="25"/>
        <v>9.1120384772254553E-5</v>
      </c>
      <c r="AX11" s="356">
        <f t="shared" si="26"/>
        <v>2.4390243902439046E-2</v>
      </c>
      <c r="AY11" s="357">
        <f t="shared" si="27"/>
        <v>88.047619047619037</v>
      </c>
      <c r="AZ11" s="356">
        <f t="shared" si="28"/>
        <v>5.4112554112541807E-4</v>
      </c>
      <c r="BA11" s="357">
        <f t="shared" si="29"/>
        <v>90.04651162790698</v>
      </c>
      <c r="BB11" s="356">
        <f t="shared" si="30"/>
        <v>5.4112554112541807E-4</v>
      </c>
    </row>
    <row r="12" spans="1:55" x14ac:dyDescent="0.3">
      <c r="A12" s="352" t="s">
        <v>151</v>
      </c>
      <c r="B12" s="357">
        <v>78</v>
      </c>
      <c r="C12" s="357">
        <v>80</v>
      </c>
      <c r="D12" s="357">
        <v>82</v>
      </c>
      <c r="E12" s="357">
        <v>84</v>
      </c>
      <c r="F12" s="357">
        <v>86</v>
      </c>
      <c r="G12" s="352">
        <v>0</v>
      </c>
      <c r="H12" s="356">
        <v>0</v>
      </c>
      <c r="I12" s="352">
        <f t="shared" si="0"/>
        <v>1.0246951219512195</v>
      </c>
      <c r="J12" s="357">
        <f t="shared" si="1"/>
        <v>78</v>
      </c>
      <c r="K12" s="357">
        <f t="shared" si="2"/>
        <v>80</v>
      </c>
      <c r="L12" s="357">
        <f t="shared" si="3"/>
        <v>82</v>
      </c>
      <c r="M12" s="357">
        <f t="shared" si="4"/>
        <v>84</v>
      </c>
      <c r="N12" s="357">
        <f t="shared" si="5"/>
        <v>86</v>
      </c>
      <c r="O12" s="352" t="str">
        <f t="shared" si="6"/>
        <v/>
      </c>
      <c r="P12" s="352" t="str">
        <f t="shared" si="7"/>
        <v/>
      </c>
      <c r="Q12" s="356">
        <f t="shared" si="8"/>
        <v>2.3809523809523725E-2</v>
      </c>
      <c r="R12" s="356">
        <f t="shared" si="9"/>
        <v>2.4390243902439046E-2</v>
      </c>
      <c r="S12" s="352" t="str">
        <f t="shared" si="10"/>
        <v/>
      </c>
      <c r="T12" s="357">
        <f t="shared" si="11"/>
        <v>86.064146341463427</v>
      </c>
      <c r="U12" s="356">
        <f t="shared" si="12"/>
        <v>7.4588769143520172E-4</v>
      </c>
      <c r="V12" s="357">
        <f t="shared" si="13"/>
        <v>86.064405799800781</v>
      </c>
      <c r="W12" s="356">
        <f t="shared" si="14"/>
        <v>7.489046488462905E-4</v>
      </c>
      <c r="X12" s="357">
        <f t="shared" si="15"/>
        <v>85.961320487026001</v>
      </c>
      <c r="Y12" s="356">
        <f t="shared" si="16"/>
        <v>4.49761778767435E-4</v>
      </c>
      <c r="Z12" s="357">
        <f t="shared" si="17"/>
        <v>88.06260162601626</v>
      </c>
      <c r="AA12" s="357">
        <f t="shared" si="18"/>
        <v>88.07085058412639</v>
      </c>
      <c r="AB12" s="357">
        <f t="shared" si="19"/>
        <v>88.013412227266855</v>
      </c>
      <c r="AC12" s="357">
        <f t="shared" si="20"/>
        <v>88.06260162601626</v>
      </c>
      <c r="AD12" s="356">
        <f t="shared" si="21"/>
        <v>2.4709970960971273E-2</v>
      </c>
      <c r="AG12" s="352" t="s">
        <v>543</v>
      </c>
      <c r="AH12" s="356">
        <f>MAX(AJ8:AJ11)</f>
        <v>1.4851423173904005E-3</v>
      </c>
      <c r="AK12" s="356">
        <f t="shared" si="22"/>
        <v>2.501029596576787E-2</v>
      </c>
      <c r="AN12" s="352" t="s">
        <v>543</v>
      </c>
      <c r="AO12" s="356">
        <f>MAX(AQ8:AQ11)</f>
        <v>4.0720504232049717E-3</v>
      </c>
      <c r="AR12" s="356">
        <f t="shared" si="23"/>
        <v>7.4588769143520172E-4</v>
      </c>
      <c r="AS12" s="356">
        <f t="shared" si="24"/>
        <v>7.489046488462905E-4</v>
      </c>
      <c r="AT12" s="356">
        <f t="shared" si="25"/>
        <v>-4.49761778767435E-4</v>
      </c>
      <c r="AX12" s="356">
        <f t="shared" si="26"/>
        <v>2.4999999999999911E-2</v>
      </c>
      <c r="AY12" s="357">
        <f t="shared" si="27"/>
        <v>86.048780487804876</v>
      </c>
      <c r="AZ12" s="356">
        <f t="shared" si="28"/>
        <v>5.6721497447530602E-4</v>
      </c>
      <c r="BA12" s="357">
        <f t="shared" si="29"/>
        <v>88.047619047619037</v>
      </c>
      <c r="BB12" s="356">
        <f t="shared" si="30"/>
        <v>5.6721497447530602E-4</v>
      </c>
    </row>
    <row r="13" spans="1:55" x14ac:dyDescent="0.3">
      <c r="A13" s="352" t="s">
        <v>152</v>
      </c>
      <c r="B13" s="357">
        <v>75</v>
      </c>
      <c r="C13" s="357">
        <v>77</v>
      </c>
      <c r="D13" s="357">
        <v>79</v>
      </c>
      <c r="E13" s="357">
        <v>81</v>
      </c>
      <c r="F13" s="357">
        <v>83</v>
      </c>
      <c r="G13" s="352">
        <v>0</v>
      </c>
      <c r="H13" s="356">
        <v>0</v>
      </c>
      <c r="I13" s="352">
        <f t="shared" si="0"/>
        <v>1.0256452408351142</v>
      </c>
      <c r="J13" s="357">
        <f t="shared" si="1"/>
        <v>75</v>
      </c>
      <c r="K13" s="357">
        <f t="shared" si="2"/>
        <v>77</v>
      </c>
      <c r="L13" s="357">
        <f t="shared" si="3"/>
        <v>79</v>
      </c>
      <c r="M13" s="357">
        <f t="shared" si="4"/>
        <v>81</v>
      </c>
      <c r="N13" s="357">
        <f t="shared" si="5"/>
        <v>83</v>
      </c>
      <c r="O13" s="352" t="str">
        <f t="shared" si="6"/>
        <v/>
      </c>
      <c r="P13" s="352" t="str">
        <f t="shared" si="7"/>
        <v/>
      </c>
      <c r="Q13" s="356">
        <f t="shared" si="8"/>
        <v>2.4691358024691468E-2</v>
      </c>
      <c r="R13" s="356">
        <f t="shared" si="9"/>
        <v>2.5316455696202445E-2</v>
      </c>
      <c r="S13" s="352" t="str">
        <f t="shared" si="10"/>
        <v/>
      </c>
      <c r="T13" s="357">
        <f t="shared" si="11"/>
        <v>83.066611869143514</v>
      </c>
      <c r="U13" s="356">
        <f t="shared" si="12"/>
        <v>8.0255264028330684E-4</v>
      </c>
      <c r="V13" s="357">
        <f t="shared" si="13"/>
        <v>83.066892340520923</v>
      </c>
      <c r="W13" s="356">
        <f t="shared" si="14"/>
        <v>8.0593181350509333E-4</v>
      </c>
      <c r="X13" s="357">
        <f t="shared" si="15"/>
        <v>82.891273326775078</v>
      </c>
      <c r="Y13" s="356">
        <f t="shared" si="16"/>
        <v>1.3099599183725532E-3</v>
      </c>
      <c r="Z13" s="357">
        <f t="shared" si="17"/>
        <v>85.064947648070017</v>
      </c>
      <c r="AA13" s="357">
        <f t="shared" si="18"/>
        <v>85.073548273644718</v>
      </c>
      <c r="AB13" s="357">
        <f t="shared" si="19"/>
        <v>84.943176917013361</v>
      </c>
      <c r="AC13" s="357">
        <f t="shared" si="20"/>
        <v>85.064947648070017</v>
      </c>
      <c r="AD13" s="356">
        <f t="shared" si="21"/>
        <v>2.5661862345789599E-2</v>
      </c>
      <c r="AE13" s="352" t="s">
        <v>544</v>
      </c>
      <c r="AH13" s="356">
        <f>IF(AJ8=$AH$12,AH8,IF(AJ9=$AH$12,AH9,IF(AJ10=$AH$12,AH10,AH11)))</f>
        <v>2.3978712556000235E-2</v>
      </c>
      <c r="AK13" s="356">
        <f t="shared" si="22"/>
        <v>2.5985568006018145E-2</v>
      </c>
      <c r="AL13" s="352" t="s">
        <v>544</v>
      </c>
      <c r="AO13" s="356">
        <f>IF(AQ8=$AO$12,AO8,IF(AQ9=$AO$12,AO9,IF(AQ10=$AO$12,AO10,AO11)))</f>
        <v>2.3844546472731955E-2</v>
      </c>
      <c r="AR13" s="356">
        <f t="shared" si="23"/>
        <v>8.0255264028330684E-4</v>
      </c>
      <c r="AS13" s="356">
        <f t="shared" si="24"/>
        <v>8.0593181350509333E-4</v>
      </c>
      <c r="AT13" s="356">
        <f t="shared" si="25"/>
        <v>-1.3099599183725532E-3</v>
      </c>
      <c r="AX13" s="356">
        <f t="shared" si="26"/>
        <v>2.5974025974025983E-2</v>
      </c>
      <c r="AY13" s="357">
        <f t="shared" si="27"/>
        <v>83.050632911392398</v>
      </c>
      <c r="AZ13" s="356">
        <f t="shared" si="28"/>
        <v>6.1003507701684612E-4</v>
      </c>
      <c r="BA13" s="357">
        <f t="shared" si="29"/>
        <v>85.049382716049394</v>
      </c>
      <c r="BB13" s="356">
        <f t="shared" si="30"/>
        <v>6.1003507701684612E-4</v>
      </c>
    </row>
    <row r="14" spans="1:55" x14ac:dyDescent="0.3">
      <c r="A14" s="352" t="s">
        <v>153</v>
      </c>
      <c r="B14" s="357">
        <v>76</v>
      </c>
      <c r="C14" s="357">
        <v>78</v>
      </c>
      <c r="D14" s="357">
        <v>80</v>
      </c>
      <c r="E14" s="357">
        <v>82</v>
      </c>
      <c r="F14" s="357">
        <v>84</v>
      </c>
      <c r="G14" s="352">
        <v>0</v>
      </c>
      <c r="H14" s="356">
        <v>0</v>
      </c>
      <c r="I14" s="352">
        <f t="shared" si="0"/>
        <v>1.0253205128205127</v>
      </c>
      <c r="J14" s="357">
        <f t="shared" si="1"/>
        <v>76</v>
      </c>
      <c r="K14" s="357">
        <f t="shared" si="2"/>
        <v>78</v>
      </c>
      <c r="L14" s="357">
        <f t="shared" si="3"/>
        <v>80</v>
      </c>
      <c r="M14" s="357">
        <f t="shared" si="4"/>
        <v>82</v>
      </c>
      <c r="N14" s="357">
        <f t="shared" si="5"/>
        <v>84</v>
      </c>
      <c r="O14" s="352" t="str">
        <f t="shared" si="6"/>
        <v/>
      </c>
      <c r="P14" s="352" t="str">
        <f t="shared" si="7"/>
        <v/>
      </c>
      <c r="Q14" s="356">
        <f t="shared" si="8"/>
        <v>2.4390243902439046E-2</v>
      </c>
      <c r="R14" s="356">
        <f t="shared" si="9"/>
        <v>2.4999999999999911E-2</v>
      </c>
      <c r="S14" s="352" t="str">
        <f t="shared" si="10"/>
        <v/>
      </c>
      <c r="T14" s="357">
        <f t="shared" si="11"/>
        <v>84.065769230769234</v>
      </c>
      <c r="U14" s="356">
        <f t="shared" si="12"/>
        <v>7.8296703296707566E-4</v>
      </c>
      <c r="V14" s="357">
        <f t="shared" si="13"/>
        <v>84.066042422817915</v>
      </c>
      <c r="W14" s="356">
        <f t="shared" si="14"/>
        <v>7.8621931926089615E-4</v>
      </c>
      <c r="X14" s="357">
        <f t="shared" si="15"/>
        <v>83.914622380192057</v>
      </c>
      <c r="Y14" s="356">
        <f t="shared" si="16"/>
        <v>1.0164002358088453E-3</v>
      </c>
      <c r="Z14" s="357">
        <f t="shared" si="17"/>
        <v>86.064146341463427</v>
      </c>
      <c r="AA14" s="357">
        <f t="shared" si="18"/>
        <v>86.072626483621718</v>
      </c>
      <c r="AB14" s="357">
        <f t="shared" si="19"/>
        <v>85.966588687097854</v>
      </c>
      <c r="AC14" s="357">
        <f t="shared" si="20"/>
        <v>86.064146341463427</v>
      </c>
      <c r="AD14" s="356">
        <f t="shared" si="21"/>
        <v>2.5336513577710162E-2</v>
      </c>
      <c r="AE14" s="352" t="s">
        <v>545</v>
      </c>
      <c r="AF14" s="352" t="str">
        <f>IF(ABS($AF$7-AH13)&lt;$H$3,IF($AH$12&lt;$J$3,"H1 stable","H3 choc isolé"),"H2 rupture durable")</f>
        <v>H1 stable</v>
      </c>
      <c r="AK14" s="356">
        <f t="shared" si="22"/>
        <v>2.5652131008858436E-2</v>
      </c>
      <c r="AL14" s="352" t="s">
        <v>545</v>
      </c>
      <c r="AM14" s="352" t="str">
        <f>IF(ABS($AM$7-AO13)&lt;$H$3,IF($AO$12&lt;$J$3,"H1 stable","H3 choc isolé"),"H2 rupture durable")</f>
        <v>H1 stable</v>
      </c>
      <c r="AR14" s="356">
        <f t="shared" si="23"/>
        <v>7.8296703296707566E-4</v>
      </c>
      <c r="AS14" s="356">
        <f t="shared" si="24"/>
        <v>7.8621931926089615E-4</v>
      </c>
      <c r="AT14" s="356">
        <f t="shared" si="25"/>
        <v>-1.0164002358088453E-3</v>
      </c>
      <c r="AX14" s="356">
        <f t="shared" si="26"/>
        <v>2.564102564102555E-2</v>
      </c>
      <c r="AY14" s="357">
        <f t="shared" si="27"/>
        <v>84.05</v>
      </c>
      <c r="AZ14" s="356">
        <f t="shared" si="28"/>
        <v>5.9523809523806136E-4</v>
      </c>
      <c r="BA14" s="357">
        <f t="shared" si="29"/>
        <v>86.048780487804876</v>
      </c>
      <c r="BB14" s="356">
        <f t="shared" si="30"/>
        <v>5.9523809523806136E-4</v>
      </c>
    </row>
    <row r="15" spans="1:55" x14ac:dyDescent="0.3">
      <c r="A15" s="352" t="s">
        <v>154</v>
      </c>
      <c r="B15" s="357">
        <v>83</v>
      </c>
      <c r="C15" s="357">
        <v>85</v>
      </c>
      <c r="D15" s="357">
        <v>87</v>
      </c>
      <c r="E15" s="357">
        <v>89</v>
      </c>
      <c r="F15" s="357">
        <v>91</v>
      </c>
      <c r="G15" s="352">
        <v>0</v>
      </c>
      <c r="H15" s="356">
        <v>0</v>
      </c>
      <c r="I15" s="352">
        <f t="shared" si="0"/>
        <v>1.0232589587559162</v>
      </c>
      <c r="J15" s="357">
        <f t="shared" si="1"/>
        <v>83</v>
      </c>
      <c r="K15" s="357">
        <f t="shared" si="2"/>
        <v>85</v>
      </c>
      <c r="L15" s="357">
        <f t="shared" si="3"/>
        <v>87</v>
      </c>
      <c r="M15" s="357">
        <f t="shared" si="4"/>
        <v>89</v>
      </c>
      <c r="N15" s="357">
        <f t="shared" si="5"/>
        <v>91</v>
      </c>
      <c r="O15" s="352" t="str">
        <f t="shared" si="6"/>
        <v/>
      </c>
      <c r="P15" s="352" t="str">
        <f t="shared" si="7"/>
        <v/>
      </c>
      <c r="Q15" s="356">
        <f t="shared" si="8"/>
        <v>2.2471910112359605E-2</v>
      </c>
      <c r="R15" s="356">
        <f t="shared" si="9"/>
        <v>2.2988505747126409E-2</v>
      </c>
      <c r="S15" s="352" t="str">
        <f t="shared" si="10"/>
        <v/>
      </c>
      <c r="T15" s="357">
        <f t="shared" si="11"/>
        <v>91.060419202163615</v>
      </c>
      <c r="U15" s="356">
        <f t="shared" si="12"/>
        <v>6.6394727652324377E-4</v>
      </c>
      <c r="V15" s="357">
        <f t="shared" si="13"/>
        <v>91.060648536600155</v>
      </c>
      <c r="W15" s="356">
        <f t="shared" si="14"/>
        <v>6.6646743516653856E-4</v>
      </c>
      <c r="X15" s="357">
        <f t="shared" si="15"/>
        <v>91.078065754110881</v>
      </c>
      <c r="Y15" s="356">
        <f t="shared" si="16"/>
        <v>8.5786542978990004E-4</v>
      </c>
      <c r="Z15" s="357">
        <f t="shared" si="17"/>
        <v>93.05904688105386</v>
      </c>
      <c r="AA15" s="357">
        <f t="shared" si="18"/>
        <v>93.066769188879746</v>
      </c>
      <c r="AB15" s="357">
        <f t="shared" si="19"/>
        <v>93.130471077689336</v>
      </c>
      <c r="AC15" s="357">
        <f t="shared" si="20"/>
        <v>93.05904688105386</v>
      </c>
      <c r="AD15" s="356">
        <f t="shared" si="21"/>
        <v>2.3271374165657166E-2</v>
      </c>
      <c r="AE15" s="352" t="s">
        <v>546</v>
      </c>
      <c r="AF15" s="356">
        <f>IF(ABS($AF$7-AH13)&lt;$H$3,$AF$7,$L$3*AH13+(1-$L$3)*$AF$7)</f>
        <v>2.3411770084498257E-2</v>
      </c>
      <c r="AK15" s="356">
        <f t="shared" si="22"/>
        <v>2.3538001069445258E-2</v>
      </c>
      <c r="AL15" s="352" t="s">
        <v>546</v>
      </c>
      <c r="AM15" s="356">
        <f>IF(ABS($AM$7-AO13)&lt;$H$3,$AM$7,$L$3*AO13+(1-$L$3)*$AM$7)</f>
        <v>2.3349053416976295E-2</v>
      </c>
      <c r="AR15" s="356">
        <f t="shared" si="23"/>
        <v>6.6394727652324377E-4</v>
      </c>
      <c r="AS15" s="356">
        <f t="shared" si="24"/>
        <v>6.6646743516653856E-4</v>
      </c>
      <c r="AT15" s="356">
        <f t="shared" si="25"/>
        <v>8.5786542978990004E-4</v>
      </c>
      <c r="AX15" s="356">
        <f t="shared" si="26"/>
        <v>2.3529411764705799E-2</v>
      </c>
      <c r="AY15" s="357">
        <f t="shared" si="27"/>
        <v>91.045977011494244</v>
      </c>
      <c r="AZ15" s="356">
        <f t="shared" si="28"/>
        <v>5.0524188455213599E-4</v>
      </c>
      <c r="BA15" s="357">
        <f t="shared" si="29"/>
        <v>93.044943820224731</v>
      </c>
      <c r="BB15" s="356">
        <f t="shared" si="30"/>
        <v>5.0524188455213599E-4</v>
      </c>
    </row>
    <row r="16" spans="1:55" x14ac:dyDescent="0.3">
      <c r="A16" s="352" t="s">
        <v>155</v>
      </c>
      <c r="B16" s="357">
        <v>91</v>
      </c>
      <c r="C16" s="357">
        <v>93</v>
      </c>
      <c r="D16" s="357">
        <v>95</v>
      </c>
      <c r="E16" s="357">
        <v>97</v>
      </c>
      <c r="F16" s="357">
        <v>99</v>
      </c>
      <c r="G16" s="352">
        <v>0</v>
      </c>
      <c r="H16" s="356">
        <v>0</v>
      </c>
      <c r="I16" s="352">
        <f t="shared" si="0"/>
        <v>1.0212790039615167</v>
      </c>
      <c r="J16" s="357">
        <f t="shared" si="1"/>
        <v>91</v>
      </c>
      <c r="K16" s="357">
        <f t="shared" si="2"/>
        <v>93</v>
      </c>
      <c r="L16" s="357">
        <f t="shared" si="3"/>
        <v>95</v>
      </c>
      <c r="M16" s="357">
        <f t="shared" si="4"/>
        <v>97</v>
      </c>
      <c r="N16" s="357">
        <f t="shared" si="5"/>
        <v>99</v>
      </c>
      <c r="O16" s="352" t="str">
        <f t="shared" si="6"/>
        <v/>
      </c>
      <c r="P16" s="352" t="str">
        <f t="shared" si="7"/>
        <v/>
      </c>
      <c r="Q16" s="356">
        <f t="shared" si="8"/>
        <v>2.0618556701030855E-2</v>
      </c>
      <c r="R16" s="356">
        <f t="shared" si="9"/>
        <v>2.1052631578947434E-2</v>
      </c>
      <c r="S16" s="352" t="str">
        <f t="shared" si="10"/>
        <v/>
      </c>
      <c r="T16" s="357">
        <f t="shared" si="11"/>
        <v>99.055280135823438</v>
      </c>
      <c r="U16" s="356">
        <f t="shared" si="12"/>
        <v>5.5838521033775362E-4</v>
      </c>
      <c r="V16" s="357">
        <f t="shared" si="13"/>
        <v>99.055471141040002</v>
      </c>
      <c r="W16" s="356">
        <f t="shared" si="14"/>
        <v>5.6031455595961343E-4</v>
      </c>
      <c r="X16" s="357">
        <f t="shared" si="15"/>
        <v>99.264858181446698</v>
      </c>
      <c r="Y16" s="356">
        <f t="shared" si="16"/>
        <v>2.6753351661282618E-3</v>
      </c>
      <c r="Z16" s="357">
        <f t="shared" si="17"/>
        <v>101.05412913727618</v>
      </c>
      <c r="AA16" s="357">
        <f t="shared" si="18"/>
        <v>101.0611350519372</v>
      </c>
      <c r="AB16" s="357">
        <f t="shared" si="19"/>
        <v>101.31776523836533</v>
      </c>
      <c r="AC16" s="357">
        <f t="shared" si="20"/>
        <v>101.05412913727618</v>
      </c>
      <c r="AD16" s="356">
        <f t="shared" si="21"/>
        <v>2.1288520961473045E-2</v>
      </c>
      <c r="AK16" s="356">
        <f t="shared" si="22"/>
        <v>2.1511940097232785E-2</v>
      </c>
      <c r="AR16" s="356">
        <f t="shared" si="23"/>
        <v>5.5838521033775362E-4</v>
      </c>
      <c r="AS16" s="356">
        <f t="shared" si="24"/>
        <v>5.6031455595961343E-4</v>
      </c>
      <c r="AT16" s="356">
        <f t="shared" si="25"/>
        <v>2.6753351661282618E-3</v>
      </c>
      <c r="AX16" s="356">
        <f t="shared" si="26"/>
        <v>2.1505376344086002E-2</v>
      </c>
      <c r="AY16" s="357">
        <f t="shared" si="27"/>
        <v>99.042105263157907</v>
      </c>
      <c r="AZ16" s="356">
        <f t="shared" si="28"/>
        <v>4.2530568846371015E-4</v>
      </c>
      <c r="BA16" s="357">
        <f t="shared" si="29"/>
        <v>101.04123711340205</v>
      </c>
      <c r="BB16" s="356">
        <f t="shared" si="30"/>
        <v>4.2530568846371015E-4</v>
      </c>
    </row>
    <row r="17" spans="1:55" x14ac:dyDescent="0.3">
      <c r="A17" s="352" t="s">
        <v>156</v>
      </c>
      <c r="B17" s="357">
        <v>116</v>
      </c>
      <c r="C17" s="357">
        <v>118</v>
      </c>
      <c r="D17" s="357">
        <v>120</v>
      </c>
      <c r="E17" s="357">
        <v>155</v>
      </c>
      <c r="F17" s="357">
        <v>126</v>
      </c>
      <c r="G17" s="352">
        <v>0</v>
      </c>
      <c r="H17" s="356">
        <v>0</v>
      </c>
      <c r="I17" s="352">
        <f t="shared" si="0"/>
        <v>1.0170952659263588</v>
      </c>
      <c r="J17" s="357">
        <f t="shared" si="1"/>
        <v>116</v>
      </c>
      <c r="K17" s="357">
        <f t="shared" si="2"/>
        <v>118</v>
      </c>
      <c r="L17" s="357">
        <f t="shared" si="3"/>
        <v>120</v>
      </c>
      <c r="M17" s="357">
        <f t="shared" si="4"/>
        <v>122.05143191116305</v>
      </c>
      <c r="N17" s="357">
        <f t="shared" si="5"/>
        <v>126</v>
      </c>
      <c r="O17" s="352" t="str">
        <f t="shared" si="6"/>
        <v>⚠Y-2</v>
      </c>
      <c r="P17" s="352" t="str">
        <f t="shared" si="7"/>
        <v>⚠ retournement (brut)</v>
      </c>
      <c r="Q17" s="356">
        <f t="shared" si="8"/>
        <v>3.2351673610113707E-2</v>
      </c>
      <c r="R17" s="356">
        <f t="shared" si="9"/>
        <v>1.7095265926358794E-2</v>
      </c>
      <c r="S17" s="352" t="str">
        <f t="shared" si="10"/>
        <v/>
      </c>
      <c r="T17" s="357">
        <f t="shared" si="11"/>
        <v>124.13258359205619</v>
      </c>
      <c r="U17" s="356">
        <f t="shared" si="12"/>
        <v>1.4820765142411168E-2</v>
      </c>
      <c r="V17" s="357">
        <f t="shared" si="13"/>
        <v>124.1379333401878</v>
      </c>
      <c r="W17" s="356">
        <f t="shared" si="14"/>
        <v>1.4778306823906349E-2</v>
      </c>
      <c r="X17" s="357">
        <f t="shared" si="15"/>
        <v>124.90121731447523</v>
      </c>
      <c r="Y17" s="356">
        <f t="shared" si="16"/>
        <v>8.7204975041648217E-3</v>
      </c>
      <c r="Z17" s="357">
        <f t="shared" si="17"/>
        <v>129.49961866442837</v>
      </c>
      <c r="AA17" s="357">
        <f t="shared" si="18"/>
        <v>129.64298756928733</v>
      </c>
      <c r="AB17" s="357">
        <f t="shared" si="19"/>
        <v>128.94988303064679</v>
      </c>
      <c r="AC17" s="357">
        <f t="shared" si="20"/>
        <v>129.49961866442837</v>
      </c>
      <c r="AD17" s="356">
        <f t="shared" si="21"/>
        <v>2.0888094097230914E-2</v>
      </c>
      <c r="AK17" s="356">
        <f t="shared" si="22"/>
        <v>1.7095258929596513E-2</v>
      </c>
      <c r="AR17" s="356">
        <f t="shared" si="23"/>
        <v>-1.4820765142411168E-2</v>
      </c>
      <c r="AS17" s="356">
        <f t="shared" si="24"/>
        <v>-1.4778306823906349E-2</v>
      </c>
      <c r="AT17" s="356">
        <f t="shared" si="25"/>
        <v>-8.7204975041648217E-3</v>
      </c>
      <c r="AX17" s="356">
        <f t="shared" si="26"/>
        <v>1.6949152542372836E-2</v>
      </c>
      <c r="AY17" s="357">
        <f t="shared" si="27"/>
        <v>124.13793359637725</v>
      </c>
      <c r="AZ17" s="356">
        <f t="shared" si="28"/>
        <v>1.4778304790656732E-2</v>
      </c>
      <c r="BA17" s="357">
        <f t="shared" si="29"/>
        <v>130.07631087487434</v>
      </c>
      <c r="BB17" s="356">
        <f t="shared" si="30"/>
        <v>-1.4778304790656732E-2</v>
      </c>
    </row>
    <row r="18" spans="1:55" x14ac:dyDescent="0.3">
      <c r="A18" s="352" t="s">
        <v>157</v>
      </c>
      <c r="B18" s="357">
        <v>96</v>
      </c>
      <c r="C18" s="357">
        <v>98</v>
      </c>
      <c r="D18" s="357">
        <v>100</v>
      </c>
      <c r="E18" s="357">
        <v>102</v>
      </c>
      <c r="F18" s="357">
        <v>104</v>
      </c>
      <c r="G18" s="352">
        <v>0</v>
      </c>
      <c r="H18" s="356">
        <v>0</v>
      </c>
      <c r="I18" s="352">
        <f t="shared" si="0"/>
        <v>1.0202040816326532</v>
      </c>
      <c r="J18" s="357">
        <f t="shared" si="1"/>
        <v>96</v>
      </c>
      <c r="K18" s="357">
        <f t="shared" si="2"/>
        <v>98</v>
      </c>
      <c r="L18" s="357">
        <f t="shared" si="3"/>
        <v>100</v>
      </c>
      <c r="M18" s="357">
        <f t="shared" si="4"/>
        <v>102</v>
      </c>
      <c r="N18" s="357">
        <f t="shared" si="5"/>
        <v>104</v>
      </c>
      <c r="O18" s="352" t="str">
        <f t="shared" si="6"/>
        <v/>
      </c>
      <c r="P18" s="352" t="str">
        <f t="shared" si="7"/>
        <v/>
      </c>
      <c r="Q18" s="356">
        <f t="shared" si="8"/>
        <v>1.9607843137254832E-2</v>
      </c>
      <c r="R18" s="356">
        <f t="shared" si="9"/>
        <v>2.0000000000000018E-2</v>
      </c>
      <c r="S18" s="352" t="str">
        <f t="shared" si="10"/>
        <v/>
      </c>
      <c r="T18" s="357">
        <f t="shared" si="11"/>
        <v>104.05248979591838</v>
      </c>
      <c r="U18" s="356">
        <f t="shared" si="12"/>
        <v>5.0470957613823174E-4</v>
      </c>
      <c r="V18" s="357">
        <f t="shared" si="13"/>
        <v>104.05266152966772</v>
      </c>
      <c r="W18" s="356">
        <f t="shared" si="14"/>
        <v>5.0636086218958098E-4</v>
      </c>
      <c r="X18" s="357">
        <f t="shared" si="15"/>
        <v>104.38160344853158</v>
      </c>
      <c r="Y18" s="356">
        <f t="shared" si="16"/>
        <v>3.6692639281882523E-3</v>
      </c>
      <c r="Z18" s="357">
        <f t="shared" si="17"/>
        <v>106.05145098039218</v>
      </c>
      <c r="AA18" s="357">
        <f t="shared" si="18"/>
        <v>106.05807264036225</v>
      </c>
      <c r="AB18" s="357">
        <f t="shared" si="19"/>
        <v>106.43482408878782</v>
      </c>
      <c r="AC18" s="357">
        <f t="shared" si="20"/>
        <v>106.05145098039218</v>
      </c>
      <c r="AD18" s="356">
        <f t="shared" si="21"/>
        <v>2.0212232691348531E-2</v>
      </c>
      <c r="AK18" s="356">
        <f t="shared" si="22"/>
        <v>2.0413775479336982E-2</v>
      </c>
      <c r="AR18" s="356">
        <f t="shared" si="23"/>
        <v>5.0470957613823174E-4</v>
      </c>
      <c r="AS18" s="356">
        <f t="shared" si="24"/>
        <v>5.0636086218958098E-4</v>
      </c>
      <c r="AT18" s="356">
        <f t="shared" si="25"/>
        <v>3.6692639281882523E-3</v>
      </c>
      <c r="AX18" s="356">
        <f t="shared" si="26"/>
        <v>2.0408163265306145E-2</v>
      </c>
      <c r="AY18" s="357">
        <f t="shared" si="27"/>
        <v>104.04</v>
      </c>
      <c r="AZ18" s="356">
        <f t="shared" si="28"/>
        <v>3.8461538461544473E-4</v>
      </c>
      <c r="BA18" s="357">
        <f t="shared" si="29"/>
        <v>106.0392156862745</v>
      </c>
      <c r="BB18" s="356">
        <f t="shared" si="30"/>
        <v>3.8461538461544473E-4</v>
      </c>
    </row>
    <row r="19" spans="1:55" x14ac:dyDescent="0.3">
      <c r="A19" s="352" t="s">
        <v>158</v>
      </c>
      <c r="B19" s="357">
        <v>86</v>
      </c>
      <c r="C19" s="357">
        <v>88</v>
      </c>
      <c r="D19" s="357">
        <v>90</v>
      </c>
      <c r="E19" s="357">
        <v>92</v>
      </c>
      <c r="F19" s="357">
        <v>94</v>
      </c>
      <c r="G19" s="352">
        <v>0</v>
      </c>
      <c r="H19" s="356">
        <v>0</v>
      </c>
      <c r="I19" s="352">
        <f t="shared" si="0"/>
        <v>1.0224747474747473</v>
      </c>
      <c r="J19" s="357">
        <f t="shared" si="1"/>
        <v>86</v>
      </c>
      <c r="K19" s="357">
        <f t="shared" si="2"/>
        <v>88</v>
      </c>
      <c r="L19" s="357">
        <f t="shared" si="3"/>
        <v>90</v>
      </c>
      <c r="M19" s="357">
        <f t="shared" si="4"/>
        <v>92</v>
      </c>
      <c r="N19" s="357">
        <f t="shared" si="5"/>
        <v>94</v>
      </c>
      <c r="O19" s="352" t="str">
        <f t="shared" si="6"/>
        <v/>
      </c>
      <c r="P19" s="352" t="str">
        <f t="shared" si="7"/>
        <v/>
      </c>
      <c r="Q19" s="356">
        <f t="shared" si="8"/>
        <v>2.1739130434782705E-2</v>
      </c>
      <c r="R19" s="356">
        <f t="shared" si="9"/>
        <v>2.2222222222222143E-2</v>
      </c>
      <c r="S19" s="352" t="str">
        <f t="shared" si="10"/>
        <v/>
      </c>
      <c r="T19" s="357">
        <f t="shared" si="11"/>
        <v>94.058383838383833</v>
      </c>
      <c r="U19" s="356">
        <f t="shared" si="12"/>
        <v>6.2110466365779423E-4</v>
      </c>
      <c r="V19" s="357">
        <f t="shared" si="13"/>
        <v>94.058597550126791</v>
      </c>
      <c r="W19" s="356">
        <f t="shared" si="14"/>
        <v>6.2337819283820239E-4</v>
      </c>
      <c r="X19" s="357">
        <f t="shared" si="15"/>
        <v>94.148112914361818</v>
      </c>
      <c r="Y19" s="356">
        <f t="shared" si="16"/>
        <v>1.575669301721464E-3</v>
      </c>
      <c r="Z19" s="357">
        <f t="shared" si="17"/>
        <v>96.057101449275365</v>
      </c>
      <c r="AA19" s="357">
        <f t="shared" si="18"/>
        <v>96.064538673384078</v>
      </c>
      <c r="AB19" s="357">
        <f t="shared" si="19"/>
        <v>96.20070638794283</v>
      </c>
      <c r="AC19" s="357">
        <f t="shared" si="20"/>
        <v>96.057101449275365</v>
      </c>
      <c r="AD19" s="356">
        <f t="shared" si="21"/>
        <v>2.2485953573594841E-2</v>
      </c>
      <c r="AK19" s="356">
        <f t="shared" si="22"/>
        <v>2.2735015906365508E-2</v>
      </c>
      <c r="AR19" s="356">
        <f t="shared" si="23"/>
        <v>6.2110466365779423E-4</v>
      </c>
      <c r="AS19" s="356">
        <f t="shared" si="24"/>
        <v>6.2337819283820239E-4</v>
      </c>
      <c r="AT19" s="356">
        <f t="shared" si="25"/>
        <v>1.575669301721464E-3</v>
      </c>
      <c r="AX19" s="356">
        <f t="shared" si="26"/>
        <v>2.2727272727272707E-2</v>
      </c>
      <c r="AY19" s="357">
        <f t="shared" si="27"/>
        <v>94.044444444444437</v>
      </c>
      <c r="AZ19" s="356">
        <f t="shared" si="28"/>
        <v>4.7281323877060831E-4</v>
      </c>
      <c r="BA19" s="357">
        <f t="shared" si="29"/>
        <v>96.043478260869577</v>
      </c>
      <c r="BB19" s="356">
        <f t="shared" si="30"/>
        <v>4.7281323877060831E-4</v>
      </c>
    </row>
    <row r="20" spans="1:55" x14ac:dyDescent="0.3">
      <c r="A20" s="358" t="s">
        <v>29</v>
      </c>
      <c r="B20" s="359"/>
      <c r="C20" s="359"/>
      <c r="D20" s="359"/>
      <c r="E20" s="359"/>
      <c r="F20" s="359"/>
      <c r="H20" s="360"/>
      <c r="J20" s="359"/>
      <c r="K20" s="359"/>
      <c r="L20" s="359"/>
      <c r="M20" s="359"/>
      <c r="N20" s="359"/>
      <c r="Q20" s="361">
        <f>AVERAGE(Q8:Q19)</f>
        <v>2.3607426976652635E-2</v>
      </c>
      <c r="R20" s="361">
        <f>AVERAGE(R8:R19)</f>
        <v>2.2826533866930714E-2</v>
      </c>
      <c r="T20" s="357" t="s">
        <v>547</v>
      </c>
      <c r="U20" s="361">
        <f>AVERAGE(U8:U19)</f>
        <v>1.865278094337552E-3</v>
      </c>
      <c r="V20" s="357" t="s">
        <v>547</v>
      </c>
      <c r="W20" s="361">
        <f>AVERAGE(W8:W19)</f>
        <v>1.8641962560927343E-3</v>
      </c>
      <c r="X20" s="357" t="s">
        <v>547</v>
      </c>
      <c r="Y20" s="361">
        <f>AVERAGE(Y8:Y19)</f>
        <v>1.8233164172889577E-3</v>
      </c>
      <c r="Z20" s="362">
        <f>SUM(Z8:Z19)</f>
        <v>1161.2712770629228</v>
      </c>
      <c r="AA20" s="362">
        <f>SUM(AA8:AA19)</f>
        <v>1161.5027119708402</v>
      </c>
      <c r="AB20" s="362">
        <f>SUM(AB8:AB19)</f>
        <v>1161.26533551488</v>
      </c>
      <c r="AC20" s="362">
        <f>SUM(AC8:AC19)</f>
        <v>1161.2712770629228</v>
      </c>
      <c r="AR20" s="361">
        <f>AVERAGE(AR8:AR19)</f>
        <v>-6.0484942939764263E-4</v>
      </c>
      <c r="AS20" s="361">
        <f>AVERAGE(AS8:AS19)</f>
        <v>-5.9885488122499023E-4</v>
      </c>
      <c r="AT20" s="361">
        <f>AVERAGE(AT8:AT19)</f>
        <v>-2.4378015868168325E-4</v>
      </c>
      <c r="AU20" s="361">
        <f>SQRT(SUMSQ(U8:U19)/12)</f>
        <v>4.3295821132703898E-3</v>
      </c>
      <c r="AV20" s="361">
        <f>SQRT(SUMSQ(W8:W19)/12)</f>
        <v>4.3178727064542011E-3</v>
      </c>
      <c r="AW20" s="361">
        <f>SQRT(SUMSQ(Y8:Y19)/12)</f>
        <v>2.9407980020323375E-3</v>
      </c>
      <c r="AX20" s="361">
        <f>AVERAGE(AX8:AX19)</f>
        <v>2.3328500807637636E-2</v>
      </c>
      <c r="AY20" s="357" t="s">
        <v>547</v>
      </c>
      <c r="AZ20" s="361">
        <f>AVERAGE(AZ8:AZ19)</f>
        <v>1.7109669640051209E-3</v>
      </c>
      <c r="BA20" s="362">
        <f>SUM(BA8:BA19)</f>
        <v>1161.687437111992</v>
      </c>
      <c r="BB20" s="361">
        <f>AVERAGE(BB8:BB19)</f>
        <v>-7.5208383443766769E-4</v>
      </c>
      <c r="BC20" s="361">
        <f>SQRT(SUMSQ(AZ8:AZ19)/12)</f>
        <v>4.2959126518436943E-3</v>
      </c>
    </row>
    <row r="22" spans="1:55" x14ac:dyDescent="0.3">
      <c r="A22" s="355" t="s">
        <v>548</v>
      </c>
      <c r="AE22" s="352" t="s">
        <v>537</v>
      </c>
      <c r="AF22" s="356">
        <f>AVERAGE(AD23:AD34)</f>
        <v>5.5380846773591307E-2</v>
      </c>
      <c r="AL22" s="352" t="s">
        <v>537</v>
      </c>
      <c r="AM22" s="356">
        <f>AVERAGE(AK23:AK34)</f>
        <v>5.6305048350723662E-2</v>
      </c>
    </row>
    <row r="23" spans="1:55" x14ac:dyDescent="0.3">
      <c r="A23" s="352" t="s">
        <v>147</v>
      </c>
      <c r="B23" s="357">
        <v>49</v>
      </c>
      <c r="C23" s="357">
        <v>52</v>
      </c>
      <c r="D23" s="357">
        <v>55</v>
      </c>
      <c r="E23" s="357">
        <v>58</v>
      </c>
      <c r="F23" s="357">
        <v>61</v>
      </c>
      <c r="G23" s="352">
        <v>0</v>
      </c>
      <c r="H23" s="356">
        <v>0</v>
      </c>
      <c r="I23" s="352">
        <f t="shared" ref="I23:I34" si="31">MEDIAN(C23/B23,D23/C23,E23/D23,F23/E23)</f>
        <v>1.0561188811188811</v>
      </c>
      <c r="J23" s="357">
        <f t="shared" ref="J23:J34" si="32">B23</f>
        <v>49</v>
      </c>
      <c r="K23" s="357">
        <f t="shared" ref="K23:K34" si="33">IF(ABS(C23-J23*I23)/(J23*I23)&gt;$B$3,J23*I23,C23)</f>
        <v>52</v>
      </c>
      <c r="L23" s="357">
        <f t="shared" ref="L23:L34" si="34">IF(ABS(D23-K23*I23)/(K23*I23)&gt;$B$3,K23*I23,D23)</f>
        <v>55</v>
      </c>
      <c r="M23" s="357">
        <f t="shared" ref="M23:M34" si="35">IF(ABS(E23-L23*I23)/(L23*I23)&gt;$B$3,L23*I23,E23)</f>
        <v>58</v>
      </c>
      <c r="N23" s="357">
        <f t="shared" ref="N23:N34" si="36">IF(ABS(F23-M23*I23)/(M23*I23)&gt;$B$3,M23*I23,F23)</f>
        <v>61</v>
      </c>
      <c r="O23" s="352" t="str">
        <f t="shared" ref="O23:O34" si="37">TRIM(IF(K23&lt;&gt;C23,"⚠Y-4 ","")&amp;IF(L23&lt;&gt;D23,"⚠Y-3 ","")&amp;IF(M23&lt;&gt;E23,"⚠Y-2 ","")&amp;IF(N23&lt;&gt;F23,"⚠Y-1 ",""))</f>
        <v/>
      </c>
      <c r="P23" s="352" t="str">
        <f t="shared" ref="P23:P34" si="38">IF(SIGN((F23/E23-1))&lt;&gt;SIGN((E23/D23-1)),"⚠ retournement (brut)",IF(ABS((F23/E23-1)-(E23/D23-1))&gt;$D$3,"⚡ accélération (brut)",""))</f>
        <v/>
      </c>
      <c r="Q23" s="356">
        <f t="shared" ref="Q23:Q34" si="39">N23/M23-1</f>
        <v>5.1724137931034475E-2</v>
      </c>
      <c r="R23" s="356">
        <f t="shared" ref="R23:R34" si="40">M23/L23-1</f>
        <v>5.4545454545454453E-2</v>
      </c>
      <c r="S23" s="352" t="str">
        <f t="shared" ref="S23:S34" si="41">IF(SIGN(Q23)&lt;&gt;SIGN(R23),"⚠ retournement",IF(ABS(Q23-R23)&gt;$D$3,"⚡ accélération",""))</f>
        <v/>
      </c>
      <c r="T23" s="357">
        <f t="shared" ref="T23:T34" si="42">M23*($F$3*M23/L23+(1-$F$3)*L23/K23)</f>
        <v>61.218391608391599</v>
      </c>
      <c r="U23" s="356">
        <f t="shared" ref="U23:U34" si="43">ABS(T23-N23)/N23</f>
        <v>3.580190301501621E-3</v>
      </c>
      <c r="V23" s="357">
        <f t="shared" ref="V23:V34" si="44">M23*($F$3*M23/L23+(1-$F$3)*(M23/J23)^(1/3))</f>
        <v>61.220565307557635</v>
      </c>
      <c r="W23" s="356">
        <f t="shared" ref="W23:W34" si="45">ABS(V23-N23)/N23</f>
        <v>3.6158247140595907E-3</v>
      </c>
      <c r="X23" s="357">
        <f t="shared" ref="X23:X34" si="46">M23*(1+$AM$30)</f>
        <v>61.265692804341974</v>
      </c>
      <c r="Y23" s="356">
        <f t="shared" ref="Y23:Y34" si="47">ABS(X23-N23)/N23</f>
        <v>4.3556197433110488E-3</v>
      </c>
      <c r="Z23" s="357">
        <f t="shared" ref="Z23:Z34" si="48">N23*($F$3*N23/M23+(1-$F$3)*M23/L23)*(1+G23*H23)</f>
        <v>64.206802507836997</v>
      </c>
      <c r="AA23" s="357">
        <f t="shared" ref="AA23:AA34" si="49">N23*($F$3*N23/M23+(1-$F$3)*(N23/J23)^(1/4))*(1+G23*H23)</f>
        <v>64.238739726922148</v>
      </c>
      <c r="AB23" s="357">
        <f t="shared" ref="AB23:AB34" si="50">N23*(1+$AF$30)*(1+G23*H23)</f>
        <v>64.378231653189061</v>
      </c>
      <c r="AC23" s="357">
        <f t="shared" ref="AC23:AC34" si="51">IF(ISNUMBER(SEARCH("H1",$AF$29)),Z23,AB23)</f>
        <v>64.206802507836997</v>
      </c>
      <c r="AD23" s="356">
        <f t="shared" ref="AD23:AD34" si="52">(N23/J23)^0.25-1</f>
        <v>5.6290657774151986E-2</v>
      </c>
      <c r="AE23" s="352" t="s">
        <v>538</v>
      </c>
      <c r="AF23" s="356">
        <f>AVERAGE(Q23:Q25)</f>
        <v>4.8079910148875658E-2</v>
      </c>
      <c r="AG23" s="352" t="s">
        <v>539</v>
      </c>
      <c r="AH23" s="356">
        <f>(SUM(Q23:Q34)-SUM(Q23:Q25))/9</f>
        <v>5.4147070663995413E-2</v>
      </c>
      <c r="AI23" s="352" t="s">
        <v>204</v>
      </c>
      <c r="AJ23" s="356">
        <f>ABS(AF23-AH23)</f>
        <v>6.0671605151197544E-3</v>
      </c>
      <c r="AK23" s="356">
        <f t="shared" ref="AK23:AK34" si="53">(M23/J23)^(1/3)-1</f>
        <v>5.7817232931734797E-2</v>
      </c>
      <c r="AL23" s="352" t="s">
        <v>538</v>
      </c>
      <c r="AM23" s="356">
        <f>AVERAGE(R23:R25)</f>
        <v>5.0562770562770552E-2</v>
      </c>
      <c r="AN23" s="352" t="s">
        <v>539</v>
      </c>
      <c r="AO23" s="356">
        <f>(SUM(R23:R34)-SUM(R23:R25))/9</f>
        <v>5.4663595014472217E-2</v>
      </c>
      <c r="AP23" s="352" t="s">
        <v>204</v>
      </c>
      <c r="AQ23" s="356">
        <f>ABS(AM23-AO23)</f>
        <v>4.1008244517016651E-3</v>
      </c>
      <c r="AR23" s="356">
        <f t="shared" ref="AR23:AR34" si="54">(T23-N23)/N23</f>
        <v>3.580190301501621E-3</v>
      </c>
      <c r="AS23" s="356">
        <f t="shared" ref="AS23:AS34" si="55">(V23-N23)/N23</f>
        <v>3.6158247140595907E-3</v>
      </c>
      <c r="AT23" s="356">
        <f t="shared" ref="AT23:AT34" si="56">(X23-N23)/N23</f>
        <v>4.3556197433110488E-3</v>
      </c>
      <c r="AX23" s="356">
        <f t="shared" ref="AX23:AX34" si="57">L23/K23-1</f>
        <v>5.7692307692307709E-2</v>
      </c>
      <c r="AY23" s="357">
        <f t="shared" ref="AY23:AY34" si="58">IF(OR(ABS(R23-AX23)&lt;$P$3,ABS(R23-$R$35)&lt;$P$3),M23*(1+R23),M23*(1+R23*$R$35/$AX$35))</f>
        <v>61.163636363636357</v>
      </c>
      <c r="AZ23" s="356">
        <f t="shared" ref="AZ23:AZ34" si="59">ABS(AY23-N23)/N23</f>
        <v>2.6825633383009331E-3</v>
      </c>
      <c r="BA23" s="357">
        <f t="shared" ref="BA23:BA34" si="60">IF(OR(ABS(Q23-R23)&lt;$P$3,ABS(Q23-$Q$35)&lt;$P$3),N23*(1+Q23)*(1+G23*H23),N23*(1+Q23*$R$35/$Q$35)*(1+G23*H23))</f>
        <v>64.155172413793096</v>
      </c>
      <c r="BB23" s="356">
        <f t="shared" ref="BB23:BB34" si="61">(AY23-N23)/N23</f>
        <v>2.6825633383009331E-3</v>
      </c>
    </row>
    <row r="24" spans="1:55" x14ac:dyDescent="0.3">
      <c r="A24" s="352" t="s">
        <v>148</v>
      </c>
      <c r="B24" s="357">
        <v>31</v>
      </c>
      <c r="C24" s="357">
        <v>33</v>
      </c>
      <c r="D24" s="357">
        <v>35</v>
      </c>
      <c r="E24" s="357">
        <v>37</v>
      </c>
      <c r="F24" s="357">
        <v>39</v>
      </c>
      <c r="G24" s="352">
        <v>0</v>
      </c>
      <c r="H24" s="356">
        <v>0</v>
      </c>
      <c r="I24" s="352">
        <f t="shared" si="31"/>
        <v>1.0588744588744587</v>
      </c>
      <c r="J24" s="357">
        <f t="shared" si="32"/>
        <v>31</v>
      </c>
      <c r="K24" s="357">
        <f t="shared" si="33"/>
        <v>33</v>
      </c>
      <c r="L24" s="357">
        <f t="shared" si="34"/>
        <v>35</v>
      </c>
      <c r="M24" s="357">
        <f t="shared" si="35"/>
        <v>37</v>
      </c>
      <c r="N24" s="357">
        <f t="shared" si="36"/>
        <v>39</v>
      </c>
      <c r="O24" s="352" t="str">
        <f t="shared" si="37"/>
        <v/>
      </c>
      <c r="P24" s="352" t="str">
        <f t="shared" si="38"/>
        <v/>
      </c>
      <c r="Q24" s="356">
        <f t="shared" si="39"/>
        <v>5.4054054054053946E-2</v>
      </c>
      <c r="R24" s="356">
        <f t="shared" si="40"/>
        <v>5.7142857142857162E-2</v>
      </c>
      <c r="S24" s="352" t="str">
        <f t="shared" si="41"/>
        <v/>
      </c>
      <c r="T24" s="357">
        <f t="shared" si="42"/>
        <v>39.152727272727269</v>
      </c>
      <c r="U24" s="356">
        <f t="shared" si="43"/>
        <v>3.9160839160838163E-3</v>
      </c>
      <c r="V24" s="357">
        <f t="shared" si="44"/>
        <v>39.15433321400036</v>
      </c>
      <c r="W24" s="356">
        <f t="shared" si="45"/>
        <v>3.9572618974451261E-3</v>
      </c>
      <c r="X24" s="357">
        <f t="shared" si="46"/>
        <v>39.083286788976778</v>
      </c>
      <c r="Y24" s="356">
        <f t="shared" si="47"/>
        <v>2.1355586917122648E-3</v>
      </c>
      <c r="Z24" s="357">
        <f t="shared" si="48"/>
        <v>41.1442471042471</v>
      </c>
      <c r="AA24" s="357">
        <f t="shared" si="49"/>
        <v>41.16682498292694</v>
      </c>
      <c r="AB24" s="357">
        <f t="shared" si="50"/>
        <v>41.159853024170062</v>
      </c>
      <c r="AC24" s="357">
        <f t="shared" si="51"/>
        <v>41.1442471042471</v>
      </c>
      <c r="AD24" s="356">
        <f t="shared" si="52"/>
        <v>5.9072590363355992E-2</v>
      </c>
      <c r="AE24" s="352" t="s">
        <v>540</v>
      </c>
      <c r="AF24" s="356">
        <f>AVERAGE(Q26:Q28)</f>
        <v>5.289406769350561E-2</v>
      </c>
      <c r="AG24" s="352" t="s">
        <v>539</v>
      </c>
      <c r="AH24" s="356">
        <f>(SUM(Q23:Q34)-SUM(Q26:Q28))/9</f>
        <v>5.2542351482452093E-2</v>
      </c>
      <c r="AI24" s="352" t="s">
        <v>204</v>
      </c>
      <c r="AJ24" s="356">
        <f>ABS(AF24-AH24)</f>
        <v>3.5171621105351686E-4</v>
      </c>
      <c r="AK24" s="356">
        <f t="shared" si="53"/>
        <v>6.0750740000032E-2</v>
      </c>
      <c r="AL24" s="352" t="s">
        <v>540</v>
      </c>
      <c r="AM24" s="356">
        <f>AVERAGE(R26:R28)</f>
        <v>5.8771929824561399E-2</v>
      </c>
      <c r="AN24" s="352" t="s">
        <v>539</v>
      </c>
      <c r="AO24" s="356">
        <f>(SUM(R23:R34)-SUM(R26:R28))/9</f>
        <v>5.1927208593875264E-2</v>
      </c>
      <c r="AP24" s="352" t="s">
        <v>204</v>
      </c>
      <c r="AQ24" s="356">
        <f>ABS(AM24-AO24)</f>
        <v>6.8447212306861349E-3</v>
      </c>
      <c r="AR24" s="356">
        <f t="shared" si="54"/>
        <v>3.9160839160838163E-3</v>
      </c>
      <c r="AS24" s="356">
        <f t="shared" si="55"/>
        <v>3.9572618974451261E-3</v>
      </c>
      <c r="AT24" s="356">
        <f t="shared" si="56"/>
        <v>2.1355586917122648E-3</v>
      </c>
      <c r="AX24" s="356">
        <f t="shared" si="57"/>
        <v>6.0606060606060552E-2</v>
      </c>
      <c r="AY24" s="357">
        <f t="shared" si="58"/>
        <v>39.114285714285714</v>
      </c>
      <c r="AZ24" s="356">
        <f t="shared" si="59"/>
        <v>2.93040293040292E-3</v>
      </c>
      <c r="BA24" s="357">
        <f t="shared" si="60"/>
        <v>41.108108108108105</v>
      </c>
      <c r="BB24" s="356">
        <f t="shared" si="61"/>
        <v>2.93040293040292E-3</v>
      </c>
    </row>
    <row r="25" spans="1:55" x14ac:dyDescent="0.3">
      <c r="A25" s="352" t="s">
        <v>149</v>
      </c>
      <c r="B25" s="357">
        <v>23</v>
      </c>
      <c r="C25" s="357">
        <v>24</v>
      </c>
      <c r="D25" s="357">
        <v>25</v>
      </c>
      <c r="E25" s="357">
        <v>26</v>
      </c>
      <c r="F25" s="357">
        <v>27</v>
      </c>
      <c r="G25" s="352">
        <v>0</v>
      </c>
      <c r="H25" s="356">
        <v>0</v>
      </c>
      <c r="I25" s="352">
        <f t="shared" si="31"/>
        <v>1.0408333333333335</v>
      </c>
      <c r="J25" s="357">
        <f t="shared" si="32"/>
        <v>23</v>
      </c>
      <c r="K25" s="357">
        <f t="shared" si="33"/>
        <v>24</v>
      </c>
      <c r="L25" s="357">
        <f t="shared" si="34"/>
        <v>25</v>
      </c>
      <c r="M25" s="357">
        <f t="shared" si="35"/>
        <v>26</v>
      </c>
      <c r="N25" s="357">
        <f t="shared" si="36"/>
        <v>27</v>
      </c>
      <c r="O25" s="352" t="str">
        <f t="shared" si="37"/>
        <v/>
      </c>
      <c r="P25" s="352" t="str">
        <f t="shared" si="38"/>
        <v/>
      </c>
      <c r="Q25" s="356">
        <f t="shared" si="39"/>
        <v>3.8461538461538547E-2</v>
      </c>
      <c r="R25" s="356">
        <f t="shared" si="40"/>
        <v>4.0000000000000036E-2</v>
      </c>
      <c r="S25" s="352" t="str">
        <f t="shared" si="41"/>
        <v/>
      </c>
      <c r="T25" s="357">
        <f t="shared" si="42"/>
        <v>27.053000000000001</v>
      </c>
      <c r="U25" s="356">
        <f t="shared" si="43"/>
        <v>1.9629629629629936E-3</v>
      </c>
      <c r="V25" s="357">
        <f t="shared" si="44"/>
        <v>27.053369258580293</v>
      </c>
      <c r="W25" s="356">
        <f t="shared" si="45"/>
        <v>1.976639206677525E-3</v>
      </c>
      <c r="X25" s="357">
        <f t="shared" si="46"/>
        <v>27.463931257118816</v>
      </c>
      <c r="Y25" s="356">
        <f t="shared" si="47"/>
        <v>1.7182639152548727E-2</v>
      </c>
      <c r="Z25" s="357">
        <f t="shared" si="48"/>
        <v>28.050923076923073</v>
      </c>
      <c r="AA25" s="357">
        <f t="shared" si="49"/>
        <v>28.058212562441639</v>
      </c>
      <c r="AB25" s="357">
        <f t="shared" si="50"/>
        <v>28.495282862886963</v>
      </c>
      <c r="AC25" s="357">
        <f t="shared" si="51"/>
        <v>28.050923076923073</v>
      </c>
      <c r="AD25" s="356">
        <f t="shared" si="52"/>
        <v>4.0899936483772992E-2</v>
      </c>
      <c r="AE25" s="352" t="s">
        <v>541</v>
      </c>
      <c r="AF25" s="356">
        <f>AVERAGE(Q29:Q31)</f>
        <v>5.7982944951030069E-2</v>
      </c>
      <c r="AG25" s="352" t="s">
        <v>539</v>
      </c>
      <c r="AH25" s="356">
        <f>(SUM(Q23:Q34)-SUM(Q29:Q31))/9</f>
        <v>5.0846059063277278E-2</v>
      </c>
      <c r="AI25" s="352" t="s">
        <v>204</v>
      </c>
      <c r="AJ25" s="356">
        <f>ABS(AF25-AH25)</f>
        <v>7.1368858877527905E-3</v>
      </c>
      <c r="AK25" s="356">
        <f t="shared" si="53"/>
        <v>4.1714007510293971E-2</v>
      </c>
      <c r="AL25" s="352" t="s">
        <v>541</v>
      </c>
      <c r="AM25" s="356">
        <f>AVERAGE(R29:R31)</f>
        <v>5.3703703703703733E-2</v>
      </c>
      <c r="AN25" s="352" t="s">
        <v>539</v>
      </c>
      <c r="AO25" s="356">
        <f>(SUM(R23:R34)-SUM(R29:R31))/9</f>
        <v>5.3616617300827819E-2</v>
      </c>
      <c r="AP25" s="352" t="s">
        <v>204</v>
      </c>
      <c r="AQ25" s="356">
        <f>ABS(AM25-AO25)</f>
        <v>8.7086402875913294E-5</v>
      </c>
      <c r="AR25" s="356">
        <f t="shared" si="54"/>
        <v>1.9629629629629936E-3</v>
      </c>
      <c r="AS25" s="356">
        <f t="shared" si="55"/>
        <v>1.976639206677525E-3</v>
      </c>
      <c r="AT25" s="356">
        <f t="shared" si="56"/>
        <v>1.7182639152548727E-2</v>
      </c>
      <c r="AX25" s="356">
        <f t="shared" si="57"/>
        <v>4.1666666666666741E-2</v>
      </c>
      <c r="AY25" s="357">
        <f t="shared" si="58"/>
        <v>27.04</v>
      </c>
      <c r="AZ25" s="356">
        <f t="shared" si="59"/>
        <v>1.48148148148145E-3</v>
      </c>
      <c r="BA25" s="357">
        <f t="shared" si="60"/>
        <v>28.03846153846154</v>
      </c>
      <c r="BB25" s="356">
        <f t="shared" si="61"/>
        <v>1.48148148148145E-3</v>
      </c>
    </row>
    <row r="26" spans="1:55" x14ac:dyDescent="0.3">
      <c r="A26" s="352" t="s">
        <v>150</v>
      </c>
      <c r="B26" s="357">
        <v>18</v>
      </c>
      <c r="C26" s="357">
        <v>19</v>
      </c>
      <c r="D26" s="357">
        <v>20</v>
      </c>
      <c r="E26" s="357">
        <v>40</v>
      </c>
      <c r="F26" s="357">
        <v>22</v>
      </c>
      <c r="G26" s="352">
        <v>0</v>
      </c>
      <c r="H26" s="356">
        <v>0</v>
      </c>
      <c r="I26" s="352">
        <f t="shared" si="31"/>
        <v>1.054093567251462</v>
      </c>
      <c r="J26" s="357">
        <f t="shared" si="32"/>
        <v>18</v>
      </c>
      <c r="K26" s="357">
        <f t="shared" si="33"/>
        <v>19</v>
      </c>
      <c r="L26" s="357">
        <f t="shared" si="34"/>
        <v>20</v>
      </c>
      <c r="M26" s="357">
        <f t="shared" si="35"/>
        <v>21.081871345029239</v>
      </c>
      <c r="N26" s="357">
        <f t="shared" si="36"/>
        <v>22</v>
      </c>
      <c r="O26" s="352" t="str">
        <f t="shared" si="37"/>
        <v>⚠Y-2</v>
      </c>
      <c r="P26" s="352" t="str">
        <f t="shared" si="38"/>
        <v>⚠ retournement (brut)</v>
      </c>
      <c r="Q26" s="356">
        <f t="shared" si="39"/>
        <v>4.3550624133148474E-2</v>
      </c>
      <c r="R26" s="356">
        <f t="shared" si="40"/>
        <v>5.4093567251461971E-2</v>
      </c>
      <c r="S26" s="352" t="str">
        <f t="shared" si="41"/>
        <v/>
      </c>
      <c r="T26" s="357">
        <f t="shared" si="42"/>
        <v>22.213018535617795</v>
      </c>
      <c r="U26" s="356">
        <f t="shared" si="43"/>
        <v>9.6826607098997892E-3</v>
      </c>
      <c r="V26" s="357">
        <f t="shared" si="44"/>
        <v>22.222260695595907</v>
      </c>
      <c r="W26" s="356">
        <f t="shared" si="45"/>
        <v>1.0102758890723025E-2</v>
      </c>
      <c r="X26" s="357">
        <f t="shared" si="46"/>
        <v>22.268887130434845</v>
      </c>
      <c r="Y26" s="356">
        <f t="shared" si="47"/>
        <v>1.2222142292492936E-2</v>
      </c>
      <c r="Z26" s="357">
        <f t="shared" si="48"/>
        <v>23.02769715551014</v>
      </c>
      <c r="AA26" s="357">
        <f t="shared" si="49"/>
        <v>23.010232331816276</v>
      </c>
      <c r="AB26" s="357">
        <f t="shared" si="50"/>
        <v>23.218378629019007</v>
      </c>
      <c r="AC26" s="357">
        <f t="shared" si="51"/>
        <v>23.02769715551014</v>
      </c>
      <c r="AD26" s="356">
        <f t="shared" si="52"/>
        <v>5.1447381843301443E-2</v>
      </c>
      <c r="AE26" s="352" t="s">
        <v>542</v>
      </c>
      <c r="AF26" s="356">
        <f>AVERAGE(Q32:Q34)</f>
        <v>5.1564199347450566E-2</v>
      </c>
      <c r="AG26" s="352" t="s">
        <v>539</v>
      </c>
      <c r="AH26" s="356">
        <f>(SUM(Q23:Q34)-SUM(Q32:Q34))/9</f>
        <v>5.2985640931137112E-2</v>
      </c>
      <c r="AI26" s="352" t="s">
        <v>204</v>
      </c>
      <c r="AJ26" s="356">
        <f>ABS(AF26-AH26)</f>
        <v>1.421441583686546E-3</v>
      </c>
      <c r="AK26" s="356">
        <f t="shared" si="53"/>
        <v>5.4092891343352045E-2</v>
      </c>
      <c r="AL26" s="352" t="s">
        <v>542</v>
      </c>
      <c r="AM26" s="356">
        <f>AVERAGE(R32:R34)</f>
        <v>5.1515151515151514E-2</v>
      </c>
      <c r="AN26" s="352" t="s">
        <v>539</v>
      </c>
      <c r="AO26" s="356">
        <f>(SUM(R23:R34)-SUM(R32:R34))/9</f>
        <v>5.4346134697011897E-2</v>
      </c>
      <c r="AP26" s="352" t="s">
        <v>204</v>
      </c>
      <c r="AQ26" s="356">
        <f>ABS(AM26-AO26)</f>
        <v>2.8309831818603831E-3</v>
      </c>
      <c r="AR26" s="356">
        <f t="shared" si="54"/>
        <v>9.6826607098997892E-3</v>
      </c>
      <c r="AS26" s="356">
        <f t="shared" si="55"/>
        <v>1.0102758890723025E-2</v>
      </c>
      <c r="AT26" s="356">
        <f t="shared" si="56"/>
        <v>1.2222142292492936E-2</v>
      </c>
      <c r="AX26" s="356">
        <f t="shared" si="57"/>
        <v>5.2631578947368363E-2</v>
      </c>
      <c r="AY26" s="357">
        <f t="shared" si="58"/>
        <v>22.222264970418248</v>
      </c>
      <c r="AZ26" s="356">
        <f t="shared" si="59"/>
        <v>1.0102953200829455E-2</v>
      </c>
      <c r="BA26" s="357">
        <f t="shared" si="60"/>
        <v>22.958113730929266</v>
      </c>
      <c r="BB26" s="356">
        <f t="shared" si="61"/>
        <v>1.0102953200829455E-2</v>
      </c>
    </row>
    <row r="27" spans="1:55" x14ac:dyDescent="0.3">
      <c r="A27" s="352" t="s">
        <v>151</v>
      </c>
      <c r="B27" s="357">
        <v>16</v>
      </c>
      <c r="C27" s="357">
        <v>17</v>
      </c>
      <c r="D27" s="357">
        <v>18</v>
      </c>
      <c r="E27" s="357">
        <v>19</v>
      </c>
      <c r="F27" s="357">
        <v>20</v>
      </c>
      <c r="G27" s="352">
        <v>0</v>
      </c>
      <c r="H27" s="356">
        <v>0</v>
      </c>
      <c r="I27" s="352">
        <f t="shared" si="31"/>
        <v>1.0571895424836601</v>
      </c>
      <c r="J27" s="357">
        <f t="shared" si="32"/>
        <v>16</v>
      </c>
      <c r="K27" s="357">
        <f t="shared" si="33"/>
        <v>17</v>
      </c>
      <c r="L27" s="357">
        <f t="shared" si="34"/>
        <v>18</v>
      </c>
      <c r="M27" s="357">
        <f t="shared" si="35"/>
        <v>19</v>
      </c>
      <c r="N27" s="357">
        <f t="shared" si="36"/>
        <v>20</v>
      </c>
      <c r="O27" s="352" t="str">
        <f t="shared" si="37"/>
        <v/>
      </c>
      <c r="P27" s="352" t="str">
        <f t="shared" si="38"/>
        <v/>
      </c>
      <c r="Q27" s="356">
        <f t="shared" si="39"/>
        <v>5.2631578947368363E-2</v>
      </c>
      <c r="R27" s="356">
        <f t="shared" si="40"/>
        <v>5.555555555555558E-2</v>
      </c>
      <c r="S27" s="352" t="str">
        <f t="shared" si="41"/>
        <v/>
      </c>
      <c r="T27" s="357">
        <f t="shared" si="42"/>
        <v>20.074183006535947</v>
      </c>
      <c r="U27" s="356">
        <f t="shared" si="43"/>
        <v>3.7091503267973279E-3</v>
      </c>
      <c r="V27" s="357">
        <f t="shared" si="44"/>
        <v>20.074937496452112</v>
      </c>
      <c r="W27" s="356">
        <f t="shared" si="45"/>
        <v>3.7468748226055838E-3</v>
      </c>
      <c r="X27" s="357">
        <f t="shared" si="46"/>
        <v>20.06979591866375</v>
      </c>
      <c r="Y27" s="356">
        <f t="shared" si="47"/>
        <v>3.4897959331875229E-3</v>
      </c>
      <c r="Z27" s="357">
        <f t="shared" si="48"/>
        <v>21.070175438596493</v>
      </c>
      <c r="AA27" s="357">
        <f t="shared" si="49"/>
        <v>21.081069685906542</v>
      </c>
      <c r="AB27" s="357">
        <f t="shared" si="50"/>
        <v>21.107616935471825</v>
      </c>
      <c r="AC27" s="357">
        <f t="shared" si="51"/>
        <v>21.070175438596493</v>
      </c>
      <c r="AD27" s="356">
        <f t="shared" si="52"/>
        <v>5.7371263440564091E-2</v>
      </c>
      <c r="AG27" s="352" t="s">
        <v>543</v>
      </c>
      <c r="AH27" s="356">
        <f>MAX(AJ23:AJ26)</f>
        <v>7.1368858877527905E-3</v>
      </c>
      <c r="AK27" s="356">
        <f t="shared" si="53"/>
        <v>5.8955896063723312E-2</v>
      </c>
      <c r="AN27" s="352" t="s">
        <v>543</v>
      </c>
      <c r="AO27" s="356">
        <f>MAX(AQ23:AQ26)</f>
        <v>6.8447212306861349E-3</v>
      </c>
      <c r="AR27" s="356">
        <f t="shared" si="54"/>
        <v>3.7091503267973279E-3</v>
      </c>
      <c r="AS27" s="356">
        <f t="shared" si="55"/>
        <v>3.7468748226055838E-3</v>
      </c>
      <c r="AT27" s="356">
        <f t="shared" si="56"/>
        <v>3.4897959331875229E-3</v>
      </c>
      <c r="AX27" s="356">
        <f t="shared" si="57"/>
        <v>5.8823529411764719E-2</v>
      </c>
      <c r="AY27" s="357">
        <f t="shared" si="58"/>
        <v>20.055555555555557</v>
      </c>
      <c r="AZ27" s="356">
        <f t="shared" si="59"/>
        <v>2.7777777777778568E-3</v>
      </c>
      <c r="BA27" s="357">
        <f t="shared" si="60"/>
        <v>21.052631578947366</v>
      </c>
      <c r="BB27" s="356">
        <f t="shared" si="61"/>
        <v>2.7777777777778568E-3</v>
      </c>
    </row>
    <row r="28" spans="1:55" x14ac:dyDescent="0.3">
      <c r="A28" s="352" t="s">
        <v>152</v>
      </c>
      <c r="B28" s="357">
        <v>13</v>
      </c>
      <c r="C28" s="357">
        <v>14</v>
      </c>
      <c r="D28" s="357">
        <v>15</v>
      </c>
      <c r="E28" s="357">
        <v>16</v>
      </c>
      <c r="F28" s="357">
        <v>17</v>
      </c>
      <c r="G28" s="352">
        <v>1</v>
      </c>
      <c r="H28" s="356">
        <v>0.1</v>
      </c>
      <c r="I28" s="352">
        <f t="shared" si="31"/>
        <v>1.069047619047619</v>
      </c>
      <c r="J28" s="357">
        <f t="shared" si="32"/>
        <v>13</v>
      </c>
      <c r="K28" s="357">
        <f t="shared" si="33"/>
        <v>14</v>
      </c>
      <c r="L28" s="357">
        <f t="shared" si="34"/>
        <v>15</v>
      </c>
      <c r="M28" s="357">
        <f t="shared" si="35"/>
        <v>16</v>
      </c>
      <c r="N28" s="357">
        <f t="shared" si="36"/>
        <v>17</v>
      </c>
      <c r="O28" s="352" t="str">
        <f t="shared" si="37"/>
        <v/>
      </c>
      <c r="P28" s="352" t="str">
        <f t="shared" si="38"/>
        <v/>
      </c>
      <c r="Q28" s="356">
        <f t="shared" si="39"/>
        <v>6.25E-2</v>
      </c>
      <c r="R28" s="356">
        <f t="shared" si="40"/>
        <v>6.6666666666666652E-2</v>
      </c>
      <c r="S28" s="352" t="str">
        <f t="shared" si="41"/>
        <v/>
      </c>
      <c r="T28" s="357">
        <f t="shared" si="42"/>
        <v>17.089523809523811</v>
      </c>
      <c r="U28" s="356">
        <f t="shared" si="43"/>
        <v>5.2661064425771377E-3</v>
      </c>
      <c r="V28" s="357">
        <f t="shared" si="44"/>
        <v>17.09065664910306</v>
      </c>
      <c r="W28" s="356">
        <f t="shared" si="45"/>
        <v>5.3327440648858974E-3</v>
      </c>
      <c r="X28" s="357">
        <f t="shared" si="46"/>
        <v>16.900880773611579</v>
      </c>
      <c r="Y28" s="356">
        <f t="shared" si="47"/>
        <v>5.8305427287306385E-3</v>
      </c>
      <c r="Z28" s="357">
        <f t="shared" si="48"/>
        <v>19.892125</v>
      </c>
      <c r="AA28" s="357">
        <f t="shared" si="49"/>
        <v>19.907268542863704</v>
      </c>
      <c r="AB28" s="357">
        <f t="shared" si="50"/>
        <v>19.735621834666158</v>
      </c>
      <c r="AC28" s="357">
        <f t="shared" si="51"/>
        <v>19.892125</v>
      </c>
      <c r="AD28" s="356">
        <f t="shared" si="52"/>
        <v>6.936605042133781E-2</v>
      </c>
      <c r="AE28" s="352" t="s">
        <v>544</v>
      </c>
      <c r="AH28" s="356">
        <f>IF(AJ23=$AH$27,AH23,IF(AJ24=$AH$27,AH24,IF(AJ25=$AH$27,AH25,AH26)))</f>
        <v>5.0846059063277278E-2</v>
      </c>
      <c r="AK28" s="356">
        <f t="shared" si="53"/>
        <v>7.1664579674248774E-2</v>
      </c>
      <c r="AL28" s="352" t="s">
        <v>544</v>
      </c>
      <c r="AO28" s="356">
        <f>IF(AQ23=$AO$27,AO23,IF(AQ24=$AO$27,AO24,IF(AQ25=$AO$27,AO25,AO26)))</f>
        <v>5.1927208593875264E-2</v>
      </c>
      <c r="AR28" s="356">
        <f t="shared" si="54"/>
        <v>5.2661064425771377E-3</v>
      </c>
      <c r="AS28" s="356">
        <f t="shared" si="55"/>
        <v>5.3327440648858974E-3</v>
      </c>
      <c r="AT28" s="356">
        <f t="shared" si="56"/>
        <v>-5.8305427287306385E-3</v>
      </c>
      <c r="AX28" s="356">
        <f t="shared" si="57"/>
        <v>7.1428571428571397E-2</v>
      </c>
      <c r="AY28" s="357">
        <f t="shared" si="58"/>
        <v>17.066666666666666</v>
      </c>
      <c r="AZ28" s="356">
        <f t="shared" si="59"/>
        <v>3.9215686274509665E-3</v>
      </c>
      <c r="BA28" s="357">
        <f t="shared" si="60"/>
        <v>19.868750000000002</v>
      </c>
      <c r="BB28" s="356">
        <f t="shared" si="61"/>
        <v>3.9215686274509665E-3</v>
      </c>
    </row>
    <row r="29" spans="1:55" x14ac:dyDescent="0.3">
      <c r="A29" s="352" t="s">
        <v>153</v>
      </c>
      <c r="B29" s="357">
        <v>13</v>
      </c>
      <c r="C29" s="357">
        <v>14</v>
      </c>
      <c r="D29" s="357">
        <v>15</v>
      </c>
      <c r="E29" s="357">
        <v>16</v>
      </c>
      <c r="F29" s="357">
        <v>17</v>
      </c>
      <c r="G29" s="352">
        <v>0</v>
      </c>
      <c r="H29" s="356">
        <v>0</v>
      </c>
      <c r="I29" s="352">
        <f t="shared" si="31"/>
        <v>1.069047619047619</v>
      </c>
      <c r="J29" s="357">
        <f t="shared" si="32"/>
        <v>13</v>
      </c>
      <c r="K29" s="357">
        <f t="shared" si="33"/>
        <v>14</v>
      </c>
      <c r="L29" s="357">
        <f t="shared" si="34"/>
        <v>15</v>
      </c>
      <c r="M29" s="357">
        <f t="shared" si="35"/>
        <v>16</v>
      </c>
      <c r="N29" s="357">
        <f t="shared" si="36"/>
        <v>17</v>
      </c>
      <c r="O29" s="352" t="str">
        <f t="shared" si="37"/>
        <v/>
      </c>
      <c r="P29" s="352" t="str">
        <f t="shared" si="38"/>
        <v/>
      </c>
      <c r="Q29" s="356">
        <f t="shared" si="39"/>
        <v>6.25E-2</v>
      </c>
      <c r="R29" s="356">
        <f t="shared" si="40"/>
        <v>6.6666666666666652E-2</v>
      </c>
      <c r="S29" s="352" t="str">
        <f t="shared" si="41"/>
        <v/>
      </c>
      <c r="T29" s="357">
        <f t="shared" si="42"/>
        <v>17.089523809523811</v>
      </c>
      <c r="U29" s="356">
        <f t="shared" si="43"/>
        <v>5.2661064425771377E-3</v>
      </c>
      <c r="V29" s="357">
        <f t="shared" si="44"/>
        <v>17.09065664910306</v>
      </c>
      <c r="W29" s="356">
        <f t="shared" si="45"/>
        <v>5.3327440648858974E-3</v>
      </c>
      <c r="X29" s="357">
        <f t="shared" si="46"/>
        <v>16.900880773611579</v>
      </c>
      <c r="Y29" s="356">
        <f t="shared" si="47"/>
        <v>5.8305427287306385E-3</v>
      </c>
      <c r="Z29" s="357">
        <f t="shared" si="48"/>
        <v>18.083749999999998</v>
      </c>
      <c r="AA29" s="357">
        <f t="shared" si="49"/>
        <v>18.097516857148822</v>
      </c>
      <c r="AB29" s="357">
        <f t="shared" si="50"/>
        <v>17.941474395151051</v>
      </c>
      <c r="AC29" s="357">
        <f t="shared" si="51"/>
        <v>18.083749999999998</v>
      </c>
      <c r="AD29" s="356">
        <f t="shared" si="52"/>
        <v>6.936605042133781E-2</v>
      </c>
      <c r="AE29" s="352" t="s">
        <v>545</v>
      </c>
      <c r="AF29" s="352" t="str">
        <f>IF(ABS($AF$22-AH28)&lt;$H$3,IF($AH$27&lt;$J$3,"H1 stable","H3 choc isolé"),"H2 rupture durable")</f>
        <v>H1 stable</v>
      </c>
      <c r="AK29" s="356">
        <f t="shared" si="53"/>
        <v>7.1664579674248774E-2</v>
      </c>
      <c r="AL29" s="352" t="s">
        <v>545</v>
      </c>
      <c r="AM29" s="352" t="str">
        <f>IF(ABS($AM$22-AO28)&lt;$H$3,IF($AO$27&lt;$J$3,"H1 stable","H3 choc isolé"),"H2 rupture durable")</f>
        <v>H1 stable</v>
      </c>
      <c r="AR29" s="356">
        <f t="shared" si="54"/>
        <v>5.2661064425771377E-3</v>
      </c>
      <c r="AS29" s="356">
        <f t="shared" si="55"/>
        <v>5.3327440648858974E-3</v>
      </c>
      <c r="AT29" s="356">
        <f t="shared" si="56"/>
        <v>-5.8305427287306385E-3</v>
      </c>
      <c r="AX29" s="356">
        <f t="shared" si="57"/>
        <v>7.1428571428571397E-2</v>
      </c>
      <c r="AY29" s="357">
        <f t="shared" si="58"/>
        <v>17.066666666666666</v>
      </c>
      <c r="AZ29" s="356">
        <f t="shared" si="59"/>
        <v>3.9215686274509665E-3</v>
      </c>
      <c r="BA29" s="357">
        <f t="shared" si="60"/>
        <v>18.0625</v>
      </c>
      <c r="BB29" s="356">
        <f t="shared" si="61"/>
        <v>3.9215686274509665E-3</v>
      </c>
    </row>
    <row r="30" spans="1:55" x14ac:dyDescent="0.3">
      <c r="A30" s="352" t="s">
        <v>154</v>
      </c>
      <c r="B30" s="357">
        <v>18</v>
      </c>
      <c r="C30" s="357">
        <v>19</v>
      </c>
      <c r="D30" s="357">
        <v>20</v>
      </c>
      <c r="E30" s="357">
        <v>21</v>
      </c>
      <c r="F30" s="357">
        <v>22</v>
      </c>
      <c r="G30" s="352">
        <v>0</v>
      </c>
      <c r="H30" s="356">
        <v>0</v>
      </c>
      <c r="I30" s="352">
        <f t="shared" si="31"/>
        <v>1.0513157894736842</v>
      </c>
      <c r="J30" s="357">
        <f t="shared" si="32"/>
        <v>18</v>
      </c>
      <c r="K30" s="357">
        <f t="shared" si="33"/>
        <v>19</v>
      </c>
      <c r="L30" s="357">
        <f t="shared" si="34"/>
        <v>20</v>
      </c>
      <c r="M30" s="357">
        <f t="shared" si="35"/>
        <v>21</v>
      </c>
      <c r="N30" s="357">
        <f t="shared" si="36"/>
        <v>22</v>
      </c>
      <c r="O30" s="352" t="str">
        <f t="shared" si="37"/>
        <v/>
      </c>
      <c r="P30" s="352" t="str">
        <f t="shared" si="38"/>
        <v/>
      </c>
      <c r="Q30" s="356">
        <f t="shared" si="39"/>
        <v>4.7619047619047672E-2</v>
      </c>
      <c r="R30" s="356">
        <f t="shared" si="40"/>
        <v>5.0000000000000044E-2</v>
      </c>
      <c r="S30" s="352" t="str">
        <f t="shared" si="41"/>
        <v/>
      </c>
      <c r="T30" s="357">
        <f t="shared" si="42"/>
        <v>22.06657894736842</v>
      </c>
      <c r="U30" s="356">
        <f t="shared" si="43"/>
        <v>3.0263157894736344E-3</v>
      </c>
      <c r="V30" s="357">
        <f t="shared" si="44"/>
        <v>22.067177577539198</v>
      </c>
      <c r="W30" s="356">
        <f t="shared" si="45"/>
        <v>3.05352625178172E-3</v>
      </c>
      <c r="X30" s="357">
        <f t="shared" si="46"/>
        <v>22.182406015365199</v>
      </c>
      <c r="Y30" s="356">
        <f t="shared" si="47"/>
        <v>8.2911825165999636E-3</v>
      </c>
      <c r="Z30" s="357">
        <f t="shared" si="48"/>
        <v>23.063333333333333</v>
      </c>
      <c r="AA30" s="357">
        <f t="shared" si="49"/>
        <v>23.072886053499118</v>
      </c>
      <c r="AB30" s="357">
        <f t="shared" si="50"/>
        <v>23.218378629019007</v>
      </c>
      <c r="AC30" s="357">
        <f t="shared" si="51"/>
        <v>23.063333333333333</v>
      </c>
      <c r="AD30" s="356">
        <f t="shared" si="52"/>
        <v>5.1447381843301443E-2</v>
      </c>
      <c r="AE30" s="352" t="s">
        <v>546</v>
      </c>
      <c r="AF30" s="356">
        <f>IF(ABS($AF$22-AH28)&lt;$H$3,$AF$22,$L$3*AH28+(1-$L$3)*$AF$22)</f>
        <v>5.5380846773591307E-2</v>
      </c>
      <c r="AK30" s="356">
        <f t="shared" si="53"/>
        <v>5.2726599609396629E-2</v>
      </c>
      <c r="AL30" s="352" t="s">
        <v>546</v>
      </c>
      <c r="AM30" s="356">
        <f>IF(ABS($AM$22-AO28)&lt;$H$3,$AM$22,$L$3*AO28+(1-$L$3)*$AM$22)</f>
        <v>5.6305048350723662E-2</v>
      </c>
      <c r="AR30" s="356">
        <f t="shared" si="54"/>
        <v>3.0263157894736344E-3</v>
      </c>
      <c r="AS30" s="356">
        <f t="shared" si="55"/>
        <v>3.05352625178172E-3</v>
      </c>
      <c r="AT30" s="356">
        <f t="shared" si="56"/>
        <v>8.2911825165999636E-3</v>
      </c>
      <c r="AX30" s="356">
        <f t="shared" si="57"/>
        <v>5.2631578947368363E-2</v>
      </c>
      <c r="AY30" s="357">
        <f t="shared" si="58"/>
        <v>22.05</v>
      </c>
      <c r="AZ30" s="356">
        <f t="shared" si="59"/>
        <v>2.2727272727273051E-3</v>
      </c>
      <c r="BA30" s="357">
        <f t="shared" si="60"/>
        <v>23.047619047619047</v>
      </c>
      <c r="BB30" s="356">
        <f t="shared" si="61"/>
        <v>2.2727272727273051E-3</v>
      </c>
    </row>
    <row r="31" spans="1:55" x14ac:dyDescent="0.3">
      <c r="A31" s="352" t="s">
        <v>155</v>
      </c>
      <c r="B31" s="357">
        <v>41</v>
      </c>
      <c r="C31" s="357">
        <v>43</v>
      </c>
      <c r="D31" s="357">
        <v>45</v>
      </c>
      <c r="E31" s="357">
        <v>47</v>
      </c>
      <c r="F31" s="357">
        <v>50</v>
      </c>
      <c r="G31" s="352">
        <v>0</v>
      </c>
      <c r="H31" s="356">
        <v>0</v>
      </c>
      <c r="I31" s="352">
        <f t="shared" si="31"/>
        <v>1.0476460578559275</v>
      </c>
      <c r="J31" s="357">
        <f t="shared" si="32"/>
        <v>41</v>
      </c>
      <c r="K31" s="357">
        <f t="shared" si="33"/>
        <v>43</v>
      </c>
      <c r="L31" s="357">
        <f t="shared" si="34"/>
        <v>45</v>
      </c>
      <c r="M31" s="357">
        <f t="shared" si="35"/>
        <v>47</v>
      </c>
      <c r="N31" s="357">
        <f t="shared" si="36"/>
        <v>50</v>
      </c>
      <c r="O31" s="352" t="str">
        <f t="shared" si="37"/>
        <v/>
      </c>
      <c r="P31" s="352" t="str">
        <f t="shared" si="38"/>
        <v/>
      </c>
      <c r="Q31" s="356">
        <f t="shared" si="39"/>
        <v>6.3829787234042534E-2</v>
      </c>
      <c r="R31" s="356">
        <f t="shared" si="40"/>
        <v>4.4444444444444509E-2</v>
      </c>
      <c r="S31" s="352" t="str">
        <f t="shared" si="41"/>
        <v/>
      </c>
      <c r="T31" s="357">
        <f t="shared" si="42"/>
        <v>49.1180361757106</v>
      </c>
      <c r="U31" s="356">
        <f t="shared" si="43"/>
        <v>1.7639276485788002E-2</v>
      </c>
      <c r="V31" s="357">
        <f t="shared" si="44"/>
        <v>49.118962932766244</v>
      </c>
      <c r="W31" s="356">
        <f t="shared" si="45"/>
        <v>1.762074134467511E-2</v>
      </c>
      <c r="X31" s="357">
        <f t="shared" si="46"/>
        <v>49.646337272484011</v>
      </c>
      <c r="Y31" s="356">
        <f t="shared" si="47"/>
        <v>7.0732545503197743E-3</v>
      </c>
      <c r="Z31" s="357">
        <f t="shared" si="48"/>
        <v>52.900709219858157</v>
      </c>
      <c r="AA31" s="357">
        <f t="shared" si="49"/>
        <v>52.997003368609526</v>
      </c>
      <c r="AB31" s="357">
        <f t="shared" si="50"/>
        <v>52.769042338679562</v>
      </c>
      <c r="AC31" s="357">
        <f t="shared" si="51"/>
        <v>52.900709219858157</v>
      </c>
      <c r="AD31" s="356">
        <f t="shared" si="52"/>
        <v>5.0864054361203115E-2</v>
      </c>
      <c r="AK31" s="356">
        <f t="shared" si="53"/>
        <v>4.6577355357731998E-2</v>
      </c>
      <c r="AR31" s="356">
        <f t="shared" si="54"/>
        <v>-1.7639276485788002E-2</v>
      </c>
      <c r="AS31" s="356">
        <f t="shared" si="55"/>
        <v>-1.762074134467511E-2</v>
      </c>
      <c r="AT31" s="356">
        <f t="shared" si="56"/>
        <v>-7.0732545503197743E-3</v>
      </c>
      <c r="AX31" s="356">
        <f t="shared" si="57"/>
        <v>4.6511627906976827E-2</v>
      </c>
      <c r="AY31" s="357">
        <f t="shared" si="58"/>
        <v>49.088888888888889</v>
      </c>
      <c r="AZ31" s="356">
        <f t="shared" si="59"/>
        <v>1.822222222222223E-2</v>
      </c>
      <c r="BA31" s="357">
        <f t="shared" si="60"/>
        <v>53.191489361702125</v>
      </c>
      <c r="BB31" s="356">
        <f t="shared" si="61"/>
        <v>-1.822222222222223E-2</v>
      </c>
    </row>
    <row r="32" spans="1:55" x14ac:dyDescent="0.3">
      <c r="A32" s="352" t="s">
        <v>156</v>
      </c>
      <c r="B32" s="357">
        <v>99</v>
      </c>
      <c r="C32" s="357">
        <v>104</v>
      </c>
      <c r="D32" s="357">
        <v>110</v>
      </c>
      <c r="E32" s="357">
        <v>116</v>
      </c>
      <c r="F32" s="357">
        <v>122</v>
      </c>
      <c r="G32" s="352">
        <v>0</v>
      </c>
      <c r="H32" s="356">
        <v>0</v>
      </c>
      <c r="I32" s="352">
        <f t="shared" si="31"/>
        <v>1.0531347962382445</v>
      </c>
      <c r="J32" s="357">
        <f t="shared" si="32"/>
        <v>99</v>
      </c>
      <c r="K32" s="357">
        <f t="shared" si="33"/>
        <v>104</v>
      </c>
      <c r="L32" s="357">
        <f t="shared" si="34"/>
        <v>110</v>
      </c>
      <c r="M32" s="357">
        <f t="shared" si="35"/>
        <v>116</v>
      </c>
      <c r="N32" s="357">
        <f t="shared" si="36"/>
        <v>122</v>
      </c>
      <c r="O32" s="352" t="str">
        <f t="shared" si="37"/>
        <v/>
      </c>
      <c r="P32" s="352" t="str">
        <f t="shared" si="38"/>
        <v/>
      </c>
      <c r="Q32" s="356">
        <f t="shared" si="39"/>
        <v>5.1724137931034475E-2</v>
      </c>
      <c r="R32" s="356">
        <f t="shared" si="40"/>
        <v>5.4545454545454453E-2</v>
      </c>
      <c r="S32" s="352" t="str">
        <f t="shared" si="41"/>
        <v/>
      </c>
      <c r="T32" s="357">
        <f t="shared" si="42"/>
        <v>122.4367832167832</v>
      </c>
      <c r="U32" s="356">
        <f t="shared" si="43"/>
        <v>3.580190301501621E-3</v>
      </c>
      <c r="V32" s="357">
        <f t="shared" si="44"/>
        <v>122.31676466820537</v>
      </c>
      <c r="W32" s="356">
        <f t="shared" si="45"/>
        <v>2.5964317066013588E-3</v>
      </c>
      <c r="X32" s="357">
        <f t="shared" si="46"/>
        <v>122.53138560868395</v>
      </c>
      <c r="Y32" s="356">
        <f t="shared" si="47"/>
        <v>4.3556197433110488E-3</v>
      </c>
      <c r="Z32" s="357">
        <f t="shared" si="48"/>
        <v>128.41360501567399</v>
      </c>
      <c r="AA32" s="357">
        <f t="shared" si="49"/>
        <v>128.37948059709726</v>
      </c>
      <c r="AB32" s="357">
        <f t="shared" si="50"/>
        <v>128.75646330637812</v>
      </c>
      <c r="AC32" s="357">
        <f t="shared" si="51"/>
        <v>128.41360501567399</v>
      </c>
      <c r="AD32" s="356">
        <f t="shared" si="52"/>
        <v>5.3613093382155697E-2</v>
      </c>
      <c r="AK32" s="356">
        <f t="shared" si="53"/>
        <v>5.4243498825128356E-2</v>
      </c>
      <c r="AR32" s="356">
        <f t="shared" si="54"/>
        <v>3.580190301501621E-3</v>
      </c>
      <c r="AS32" s="356">
        <f t="shared" si="55"/>
        <v>2.5964317066013588E-3</v>
      </c>
      <c r="AT32" s="356">
        <f t="shared" si="56"/>
        <v>4.3556197433110488E-3</v>
      </c>
      <c r="AX32" s="356">
        <f t="shared" si="57"/>
        <v>5.7692307692307709E-2</v>
      </c>
      <c r="AY32" s="357">
        <f t="shared" si="58"/>
        <v>122.32727272727271</v>
      </c>
      <c r="AZ32" s="356">
        <f t="shared" si="59"/>
        <v>2.6825633383009331E-3</v>
      </c>
      <c r="BA32" s="357">
        <f t="shared" si="60"/>
        <v>128.31034482758619</v>
      </c>
      <c r="BB32" s="356">
        <f t="shared" si="61"/>
        <v>2.6825633383009331E-3</v>
      </c>
    </row>
    <row r="33" spans="1:55" x14ac:dyDescent="0.3">
      <c r="A33" s="352" t="s">
        <v>157</v>
      </c>
      <c r="B33" s="357">
        <v>198</v>
      </c>
      <c r="C33" s="357">
        <v>209</v>
      </c>
      <c r="D33" s="357">
        <v>220</v>
      </c>
      <c r="E33" s="357">
        <v>231</v>
      </c>
      <c r="F33" s="357">
        <v>243</v>
      </c>
      <c r="G33" s="352">
        <v>1</v>
      </c>
      <c r="H33" s="356">
        <v>0.2</v>
      </c>
      <c r="I33" s="352">
        <f t="shared" si="31"/>
        <v>1.0522898154477103</v>
      </c>
      <c r="J33" s="357">
        <f t="shared" si="32"/>
        <v>198</v>
      </c>
      <c r="K33" s="357">
        <f t="shared" si="33"/>
        <v>209</v>
      </c>
      <c r="L33" s="357">
        <f t="shared" si="34"/>
        <v>220</v>
      </c>
      <c r="M33" s="357">
        <f t="shared" si="35"/>
        <v>231</v>
      </c>
      <c r="N33" s="357">
        <f t="shared" si="36"/>
        <v>243</v>
      </c>
      <c r="O33" s="352" t="str">
        <f t="shared" si="37"/>
        <v/>
      </c>
      <c r="P33" s="352" t="str">
        <f t="shared" si="38"/>
        <v/>
      </c>
      <c r="Q33" s="356">
        <f t="shared" si="39"/>
        <v>5.1948051948051965E-2</v>
      </c>
      <c r="R33" s="356">
        <f t="shared" si="40"/>
        <v>5.0000000000000044E-2</v>
      </c>
      <c r="S33" s="352" t="str">
        <f t="shared" si="41"/>
        <v/>
      </c>
      <c r="T33" s="357">
        <f t="shared" si="42"/>
        <v>242.73236842105263</v>
      </c>
      <c r="U33" s="356">
        <f t="shared" si="43"/>
        <v>1.1013645224171743E-3</v>
      </c>
      <c r="V33" s="357">
        <f t="shared" si="44"/>
        <v>242.73895335293119</v>
      </c>
      <c r="W33" s="356">
        <f t="shared" si="45"/>
        <v>1.0742660373202039E-3</v>
      </c>
      <c r="X33" s="357">
        <f t="shared" si="46"/>
        <v>244.00646616901719</v>
      </c>
      <c r="Y33" s="356">
        <f t="shared" si="47"/>
        <v>4.1418360864904835E-3</v>
      </c>
      <c r="Z33" s="357">
        <f t="shared" si="48"/>
        <v>306.57763636363632</v>
      </c>
      <c r="AA33" s="357">
        <f t="shared" si="49"/>
        <v>306.799127735978</v>
      </c>
      <c r="AB33" s="357">
        <f t="shared" si="50"/>
        <v>307.74905491917917</v>
      </c>
      <c r="AC33" s="357">
        <f t="shared" si="51"/>
        <v>306.57763636363632</v>
      </c>
      <c r="AD33" s="356">
        <f t="shared" si="52"/>
        <v>5.2531908691605622E-2</v>
      </c>
      <c r="AK33" s="356">
        <f t="shared" si="53"/>
        <v>5.2726599609396629E-2</v>
      </c>
      <c r="AR33" s="356">
        <f t="shared" si="54"/>
        <v>-1.1013645224171743E-3</v>
      </c>
      <c r="AS33" s="356">
        <f t="shared" si="55"/>
        <v>-1.0742660373202039E-3</v>
      </c>
      <c r="AT33" s="356">
        <f t="shared" si="56"/>
        <v>4.1418360864904835E-3</v>
      </c>
      <c r="AX33" s="356">
        <f t="shared" si="57"/>
        <v>5.2631578947368363E-2</v>
      </c>
      <c r="AY33" s="357">
        <f t="shared" si="58"/>
        <v>242.55</v>
      </c>
      <c r="AZ33" s="356">
        <f t="shared" si="59"/>
        <v>1.8518518518518051E-3</v>
      </c>
      <c r="BA33" s="357">
        <f t="shared" si="60"/>
        <v>306.74805194805197</v>
      </c>
      <c r="BB33" s="356">
        <f t="shared" si="61"/>
        <v>-1.8518518518518051E-3</v>
      </c>
    </row>
    <row r="34" spans="1:55" x14ac:dyDescent="0.3">
      <c r="A34" s="352" t="s">
        <v>158</v>
      </c>
      <c r="B34" s="357">
        <v>252</v>
      </c>
      <c r="C34" s="357">
        <v>266</v>
      </c>
      <c r="D34" s="357">
        <v>280</v>
      </c>
      <c r="E34" s="357">
        <v>294</v>
      </c>
      <c r="F34" s="357">
        <v>309</v>
      </c>
      <c r="G34" s="352">
        <v>0</v>
      </c>
      <c r="H34" s="356">
        <v>0</v>
      </c>
      <c r="I34" s="352">
        <f t="shared" si="31"/>
        <v>1.0518259935553167</v>
      </c>
      <c r="J34" s="357">
        <f t="shared" si="32"/>
        <v>252</v>
      </c>
      <c r="K34" s="357">
        <f t="shared" si="33"/>
        <v>266</v>
      </c>
      <c r="L34" s="357">
        <f t="shared" si="34"/>
        <v>280</v>
      </c>
      <c r="M34" s="357">
        <f t="shared" si="35"/>
        <v>294</v>
      </c>
      <c r="N34" s="357">
        <f t="shared" si="36"/>
        <v>309</v>
      </c>
      <c r="O34" s="352" t="str">
        <f t="shared" si="37"/>
        <v/>
      </c>
      <c r="P34" s="352" t="str">
        <f t="shared" si="38"/>
        <v/>
      </c>
      <c r="Q34" s="356">
        <f t="shared" si="39"/>
        <v>5.1020408163265252E-2</v>
      </c>
      <c r="R34" s="356">
        <f t="shared" si="40"/>
        <v>5.0000000000000044E-2</v>
      </c>
      <c r="S34" s="352" t="str">
        <f t="shared" si="41"/>
        <v/>
      </c>
      <c r="T34" s="357">
        <f t="shared" si="42"/>
        <v>308.93210526315789</v>
      </c>
      <c r="U34" s="356">
        <f t="shared" si="43"/>
        <v>2.1972406745018232E-4</v>
      </c>
      <c r="V34" s="357">
        <f t="shared" si="44"/>
        <v>308.9404860855488</v>
      </c>
      <c r="W34" s="356">
        <f t="shared" si="45"/>
        <v>1.926016648906207E-4</v>
      </c>
      <c r="X34" s="357">
        <f t="shared" si="46"/>
        <v>310.55368421511275</v>
      </c>
      <c r="Y34" s="356">
        <f t="shared" si="47"/>
        <v>5.0281042560283273E-3</v>
      </c>
      <c r="Z34" s="357">
        <f t="shared" si="48"/>
        <v>324.67071428571427</v>
      </c>
      <c r="AA34" s="357">
        <f t="shared" si="49"/>
        <v>324.88390502793891</v>
      </c>
      <c r="AB34" s="357">
        <f t="shared" si="50"/>
        <v>326.11268165303972</v>
      </c>
      <c r="AC34" s="357">
        <f t="shared" si="51"/>
        <v>324.67071428571427</v>
      </c>
      <c r="AD34" s="356">
        <f t="shared" si="52"/>
        <v>5.2299792257007649E-2</v>
      </c>
      <c r="AK34" s="356">
        <f t="shared" si="53"/>
        <v>5.2726599609396629E-2</v>
      </c>
      <c r="AR34" s="356">
        <f t="shared" si="54"/>
        <v>-2.1972406745018232E-4</v>
      </c>
      <c r="AS34" s="356">
        <f t="shared" si="55"/>
        <v>-1.926016648906207E-4</v>
      </c>
      <c r="AT34" s="356">
        <f t="shared" si="56"/>
        <v>5.0281042560283273E-3</v>
      </c>
      <c r="AX34" s="356">
        <f t="shared" si="57"/>
        <v>5.2631578947368363E-2</v>
      </c>
      <c r="AY34" s="357">
        <f t="shared" si="58"/>
        <v>308.7</v>
      </c>
      <c r="AZ34" s="356">
        <f t="shared" si="59"/>
        <v>9.7087378640780381E-4</v>
      </c>
      <c r="BA34" s="357">
        <f t="shared" si="60"/>
        <v>324.76530612244898</v>
      </c>
      <c r="BB34" s="356">
        <f t="shared" si="61"/>
        <v>-9.7087378640780381E-4</v>
      </c>
    </row>
    <row r="35" spans="1:55" x14ac:dyDescent="0.3">
      <c r="A35" s="358" t="s">
        <v>29</v>
      </c>
      <c r="B35" s="359"/>
      <c r="C35" s="359"/>
      <c r="D35" s="359"/>
      <c r="E35" s="359"/>
      <c r="F35" s="359"/>
      <c r="H35" s="360"/>
      <c r="J35" s="359"/>
      <c r="K35" s="359"/>
      <c r="L35" s="359"/>
      <c r="M35" s="359"/>
      <c r="N35" s="359"/>
      <c r="Q35" s="361">
        <f>AVERAGE(Q23:Q34)</f>
        <v>5.2630280535215478E-2</v>
      </c>
      <c r="R35" s="361">
        <f>AVERAGE(R23:R34)</f>
        <v>5.3638388901546798E-2</v>
      </c>
      <c r="T35" s="357" t="s">
        <v>547</v>
      </c>
      <c r="U35" s="361">
        <f>AVERAGE(U23:U34)</f>
        <v>4.9125110224192024E-3</v>
      </c>
      <c r="V35" s="357" t="s">
        <v>547</v>
      </c>
      <c r="W35" s="361">
        <f>AVERAGE(W23:W34)</f>
        <v>4.8835345555459713E-3</v>
      </c>
      <c r="X35" s="357" t="s">
        <v>547</v>
      </c>
      <c r="Y35" s="361">
        <f>AVERAGE(Y23:Y34)</f>
        <v>6.6614032019552813E-3</v>
      </c>
      <c r="Z35" s="362">
        <f>SUM(Z23:Z34)</f>
        <v>1051.10171850133</v>
      </c>
      <c r="AA35" s="362">
        <f>SUM(AA23:AA34)</f>
        <v>1051.6922674731488</v>
      </c>
      <c r="AB35" s="362">
        <f>SUM(AB23:AB34)</f>
        <v>1054.6420801808497</v>
      </c>
      <c r="AC35" s="362">
        <f>SUM(AC23:AC34)</f>
        <v>1051.10171850133</v>
      </c>
      <c r="AR35" s="361">
        <f>AVERAGE(AR23:AR34)</f>
        <v>1.7524501764766432E-3</v>
      </c>
      <c r="AS35" s="361">
        <f>AVERAGE(AS23:AS34)</f>
        <v>1.7355997143983155E-3</v>
      </c>
      <c r="AT35" s="361">
        <f>AVERAGE(AT23:AT34)</f>
        <v>3.5390132006584397E-3</v>
      </c>
      <c r="AU35" s="361">
        <f>SQRT(SUMSQ(U23:U34)/12)</f>
        <v>6.6418112200750451E-3</v>
      </c>
      <c r="AV35" s="361">
        <f>SQRT(SUMSQ(W23:W34)/12)</f>
        <v>6.6668926291178201E-3</v>
      </c>
      <c r="AW35" s="361">
        <f>SQRT(SUMSQ(Y23:Y34)/12)</f>
        <v>7.791596524458641E-3</v>
      </c>
      <c r="AX35" s="361">
        <f>AVERAGE(AX23:AX34)</f>
        <v>5.6364663218558375E-2</v>
      </c>
      <c r="AY35" s="357" t="s">
        <v>547</v>
      </c>
      <c r="AZ35" s="361">
        <f>AVERAGE(AZ23:AZ34)</f>
        <v>4.484879537933719E-3</v>
      </c>
      <c r="BA35" s="362">
        <f>SUM(BA23:BA34)</f>
        <v>1051.3065486776477</v>
      </c>
      <c r="BB35" s="361">
        <f>AVERAGE(BB23:BB34)</f>
        <v>9.7738822785341239E-4</v>
      </c>
      <c r="BC35" s="361">
        <f>SQRT(SUMSQ(AZ23:AZ34)/12)</f>
        <v>6.5019489242684634E-3</v>
      </c>
    </row>
    <row r="37" spans="1:55" x14ac:dyDescent="0.3">
      <c r="A37" s="355" t="s">
        <v>549</v>
      </c>
      <c r="AE37" s="352" t="s">
        <v>537</v>
      </c>
      <c r="AF37" s="356">
        <f>AVERAGE(AD38:AD49)</f>
        <v>7.7461509498716052E-2</v>
      </c>
      <c r="AL37" s="352" t="s">
        <v>537</v>
      </c>
      <c r="AM37" s="356">
        <f>AVERAGE(AK38:AK49)</f>
        <v>5.439195900624013E-2</v>
      </c>
    </row>
    <row r="38" spans="1:55" x14ac:dyDescent="0.3">
      <c r="A38" s="352" t="s">
        <v>147</v>
      </c>
      <c r="B38" s="357">
        <v>97</v>
      </c>
      <c r="C38" s="357">
        <v>98</v>
      </c>
      <c r="D38" s="357">
        <v>99</v>
      </c>
      <c r="E38" s="357">
        <v>114</v>
      </c>
      <c r="F38" s="357">
        <v>131</v>
      </c>
      <c r="G38" s="352">
        <v>0</v>
      </c>
      <c r="H38" s="356">
        <v>0</v>
      </c>
      <c r="I38" s="352">
        <f t="shared" ref="I38:I49" si="62">MEDIAN(C38/B38,D38/C38,E38/D38,F38/E38)</f>
        <v>1.0797160426840295</v>
      </c>
      <c r="J38" s="357">
        <f t="shared" ref="J38:J49" si="63">B38</f>
        <v>97</v>
      </c>
      <c r="K38" s="357">
        <f t="shared" ref="K38:K49" si="64">IF(ABS(C38-J38*I38)/(J38*I38)&gt;$B$3,J38*I38,C38)</f>
        <v>98</v>
      </c>
      <c r="L38" s="357">
        <f t="shared" ref="L38:L49" si="65">IF(ABS(D38-K38*I38)/(K38*I38)&gt;$B$3,K38*I38,D38)</f>
        <v>99</v>
      </c>
      <c r="M38" s="357">
        <f t="shared" ref="M38:M49" si="66">IF(ABS(E38-L38*I38)/(L38*I38)&gt;$B$3,L38*I38,E38)</f>
        <v>114</v>
      </c>
      <c r="N38" s="357">
        <f t="shared" ref="N38:N49" si="67">IF(ABS(F38-M38*I38)/(M38*I38)&gt;$B$3,M38*I38,F38)</f>
        <v>131</v>
      </c>
      <c r="O38" s="352" t="str">
        <f t="shared" ref="O38:O49" si="68">TRIM(IF(K38&lt;&gt;C38,"⚠Y-4 ","")&amp;IF(L38&lt;&gt;D38,"⚠Y-3 ","")&amp;IF(M38&lt;&gt;E38,"⚠Y-2 ","")&amp;IF(N38&lt;&gt;F38,"⚠Y-1 ",""))</f>
        <v/>
      </c>
      <c r="P38" s="352" t="str">
        <f t="shared" ref="P38:P49" si="69">IF(SIGN((F38/E38-1))&lt;&gt;SIGN((E38/D38-1)),"⚠ retournement (brut)",IF(ABS((F38/E38-1)-(E38/D38-1))&gt;$D$3,"⚡ accélération (brut)",""))</f>
        <v/>
      </c>
      <c r="Q38" s="356">
        <f t="shared" ref="Q38:Q49" si="70">N38/M38-1</f>
        <v>0.14912280701754388</v>
      </c>
      <c r="R38" s="356">
        <f t="shared" ref="R38:R49" si="71">M38/L38-1</f>
        <v>0.1515151515151516</v>
      </c>
      <c r="S38" s="352" t="str">
        <f t="shared" ref="S38:S49" si="72">IF(SIGN(Q38)&lt;&gt;SIGN(R38),"⚠ retournement",IF(ABS(Q38-R38)&gt;$D$3,"⚡ accélération",""))</f>
        <v/>
      </c>
      <c r="T38" s="357">
        <f t="shared" ref="T38:T49" si="73">M38*($F$3*M38/L38+(1-$F$3)*L38/K38)</f>
        <v>126.43988868274583</v>
      </c>
      <c r="U38" s="356">
        <f t="shared" ref="U38:U49" si="74">ABS(T38-N38)/N38</f>
        <v>3.4810010055375332E-2</v>
      </c>
      <c r="V38" s="357">
        <f t="shared" ref="V38:V49" si="75">M38*($F$3*M38/L38+(1-$F$3)*(M38/J38)^(1/3))</f>
        <v>127.98231598030699</v>
      </c>
      <c r="W38" s="356">
        <f t="shared" ref="W38:W49" si="76">ABS(V38-N38)/N38</f>
        <v>2.3035755875519138E-2</v>
      </c>
      <c r="X38" s="357">
        <f t="shared" ref="X38:X49" si="77">M38*(1+$AM$45)</f>
        <v>129.3336494487086</v>
      </c>
      <c r="Y38" s="356">
        <f t="shared" ref="Y38:Y49" si="78">ABS(X38-N38)/N38</f>
        <v>1.2720233215964896E-2</v>
      </c>
      <c r="Z38" s="357">
        <f t="shared" ref="Z38:Z49" si="79">N38*($F$3*N38/M38+(1-$F$3)*M38/L38)*(1+G38*H38)</f>
        <v>150.62910685805423</v>
      </c>
      <c r="AA38" s="357">
        <f t="shared" ref="AA38:AA49" si="80">N38*($F$3*N38/M38+(1-$F$3)*(N38/J38)^(1/4))*(1+G38*H38)</f>
        <v>147.74055933975052</v>
      </c>
      <c r="AB38" s="357">
        <f t="shared" ref="AB38:AB49" si="81">N38*(1+$AF$45)*(1+G38*H38)</f>
        <v>149.26005380848457</v>
      </c>
      <c r="AC38" s="357">
        <f t="shared" ref="AC38:AC49" si="82">IF(ISNUMBER(SEARCH("H1",$AF$44)),Z38,AB38)</f>
        <v>149.26005380848457</v>
      </c>
      <c r="AD38" s="356">
        <f t="shared" ref="AD38:AD49" si="83">(N38/J38)^0.25-1</f>
        <v>7.8015214662639609E-2</v>
      </c>
      <c r="AE38" s="352" t="s">
        <v>538</v>
      </c>
      <c r="AF38" s="356">
        <f>AVERAGE(Q38:Q40)</f>
        <v>0.14940563467894363</v>
      </c>
      <c r="AG38" s="352" t="s">
        <v>539</v>
      </c>
      <c r="AH38" s="356">
        <f>(SUM(Q38:Q49)-SUM(Q38:Q40))/9</f>
        <v>0.14985998808996751</v>
      </c>
      <c r="AI38" s="352" t="s">
        <v>204</v>
      </c>
      <c r="AJ38" s="356">
        <f>ABS(AF38-AH38)</f>
        <v>4.5435341102387228E-4</v>
      </c>
      <c r="AK38" s="356">
        <f t="shared" ref="AK38:AK49" si="84">(M38/J38)^(1/3)-1</f>
        <v>5.5304295011634697E-2</v>
      </c>
      <c r="AL38" s="352" t="s">
        <v>538</v>
      </c>
      <c r="AM38" s="356">
        <f>AVERAGE(R38:R40)</f>
        <v>0.14855369032048835</v>
      </c>
      <c r="AN38" s="352" t="s">
        <v>539</v>
      </c>
      <c r="AO38" s="356">
        <f>(SUM(R38:R49)-SUM(R38:R40))/9</f>
        <v>0.14949267432873975</v>
      </c>
      <c r="AP38" s="352" t="s">
        <v>204</v>
      </c>
      <c r="AQ38" s="356">
        <f>ABS(AM38-AO38)</f>
        <v>9.3898400825140338E-4</v>
      </c>
      <c r="AR38" s="356">
        <f t="shared" ref="AR38:AR49" si="85">(T38-N38)/N38</f>
        <v>-3.4810010055375332E-2</v>
      </c>
      <c r="AS38" s="356">
        <f t="shared" ref="AS38:AS49" si="86">(V38-N38)/N38</f>
        <v>-2.3035755875519138E-2</v>
      </c>
      <c r="AT38" s="356">
        <f t="shared" ref="AT38:AT49" si="87">(X38-N38)/N38</f>
        <v>-1.2720233215964896E-2</v>
      </c>
      <c r="AX38" s="356">
        <f t="shared" ref="AX38:AX49" si="88">L38/K38-1</f>
        <v>1.0204081632652962E-2</v>
      </c>
      <c r="AY38" s="357">
        <f t="shared" ref="AY38:AY49" si="89">IF(OR(ABS(R38-AX38)&lt;$P$3,ABS(R38-$R$50)&lt;$P$3),M38*(1+R38),M38*(1+R38*$R$50/$AX$50))</f>
        <v>131.27272727272728</v>
      </c>
      <c r="AZ38" s="356">
        <f t="shared" ref="AZ38:AZ49" si="90">ABS(AY38-N38)/N38</f>
        <v>2.0818875780708435E-3</v>
      </c>
      <c r="BA38" s="357">
        <f t="shared" ref="BA38:BA49" si="91">IF(OR(ABS(Q38-R38)&lt;$P$3,ABS(Q38-$Q$50)&lt;$P$3),N38*(1+Q38)*(1+G38*H38),N38*(1+Q38*$R$50/$Q$50)*(1+G38*H38))</f>
        <v>150.53508771929825</v>
      </c>
      <c r="BB38" s="356">
        <f t="shared" ref="BB38:BB49" si="92">(AY38-N38)/N38</f>
        <v>2.0818875780708435E-3</v>
      </c>
    </row>
    <row r="39" spans="1:55" x14ac:dyDescent="0.3">
      <c r="A39" s="352" t="s">
        <v>148</v>
      </c>
      <c r="B39" s="357">
        <v>99</v>
      </c>
      <c r="C39" s="357">
        <v>100</v>
      </c>
      <c r="D39" s="357">
        <v>101</v>
      </c>
      <c r="E39" s="357">
        <v>116</v>
      </c>
      <c r="F39" s="357">
        <v>133</v>
      </c>
      <c r="G39" s="352">
        <v>0</v>
      </c>
      <c r="H39" s="356">
        <v>0</v>
      </c>
      <c r="I39" s="352">
        <f t="shared" si="62"/>
        <v>1.0783263671194705</v>
      </c>
      <c r="J39" s="357">
        <f t="shared" si="63"/>
        <v>99</v>
      </c>
      <c r="K39" s="357">
        <f t="shared" si="64"/>
        <v>100</v>
      </c>
      <c r="L39" s="357">
        <f t="shared" si="65"/>
        <v>101</v>
      </c>
      <c r="M39" s="357">
        <f t="shared" si="66"/>
        <v>116</v>
      </c>
      <c r="N39" s="357">
        <f t="shared" si="67"/>
        <v>133</v>
      </c>
      <c r="O39" s="352" t="str">
        <f t="shared" si="68"/>
        <v/>
      </c>
      <c r="P39" s="352" t="str">
        <f t="shared" si="69"/>
        <v/>
      </c>
      <c r="Q39" s="356">
        <f t="shared" si="70"/>
        <v>0.14655172413793105</v>
      </c>
      <c r="R39" s="356">
        <f t="shared" si="71"/>
        <v>0.14851485148514842</v>
      </c>
      <c r="S39" s="352" t="str">
        <f t="shared" si="72"/>
        <v/>
      </c>
      <c r="T39" s="357">
        <f t="shared" si="73"/>
        <v>128.40740594059406</v>
      </c>
      <c r="U39" s="356">
        <f t="shared" si="74"/>
        <v>3.4530782401548422E-2</v>
      </c>
      <c r="V39" s="357">
        <f t="shared" si="75"/>
        <v>129.94707969970852</v>
      </c>
      <c r="W39" s="356">
        <f t="shared" si="76"/>
        <v>2.2954287972116356E-2</v>
      </c>
      <c r="X39" s="357">
        <f t="shared" si="77"/>
        <v>131.60266084254559</v>
      </c>
      <c r="Y39" s="356">
        <f t="shared" si="78"/>
        <v>1.0506309454544444E-2</v>
      </c>
      <c r="Z39" s="357">
        <f t="shared" si="79"/>
        <v>152.56970809149882</v>
      </c>
      <c r="AA39" s="357">
        <f t="shared" si="80"/>
        <v>149.70027941599221</v>
      </c>
      <c r="AB39" s="357">
        <f t="shared" si="81"/>
        <v>151.53883325594236</v>
      </c>
      <c r="AC39" s="357">
        <f t="shared" si="82"/>
        <v>151.53883325594236</v>
      </c>
      <c r="AD39" s="356">
        <f t="shared" si="83"/>
        <v>7.6599345833353594E-2</v>
      </c>
      <c r="AE39" s="352" t="s">
        <v>540</v>
      </c>
      <c r="AF39" s="356">
        <f>AVERAGE(Q41:Q43)</f>
        <v>0.15014419046039595</v>
      </c>
      <c r="AG39" s="352" t="s">
        <v>539</v>
      </c>
      <c r="AH39" s="356">
        <f>(SUM(Q38:Q49)-SUM(Q41:Q43))/9</f>
        <v>0.14961380282948342</v>
      </c>
      <c r="AI39" s="352" t="s">
        <v>204</v>
      </c>
      <c r="AJ39" s="356">
        <f>ABS(AF39-AH39)</f>
        <v>5.3038763091253771E-4</v>
      </c>
      <c r="AK39" s="356">
        <f t="shared" si="84"/>
        <v>5.4243498825128356E-2</v>
      </c>
      <c r="AL39" s="352" t="s">
        <v>540</v>
      </c>
      <c r="AM39" s="356">
        <f>AVERAGE(R41:R43)</f>
        <v>0.14981325863678796</v>
      </c>
      <c r="AN39" s="352" t="s">
        <v>539</v>
      </c>
      <c r="AO39" s="356">
        <f>(SUM(R38:R49)-SUM(R41:R43))/9</f>
        <v>0.14907281822330654</v>
      </c>
      <c r="AP39" s="352" t="s">
        <v>204</v>
      </c>
      <c r="AQ39" s="356">
        <f>ABS(AM39-AO39)</f>
        <v>7.4044041348142464E-4</v>
      </c>
      <c r="AR39" s="356">
        <f t="shared" si="85"/>
        <v>-3.4530782401548422E-2</v>
      </c>
      <c r="AS39" s="356">
        <f t="shared" si="86"/>
        <v>-2.2954287972116356E-2</v>
      </c>
      <c r="AT39" s="356">
        <f t="shared" si="87"/>
        <v>-1.0506309454544444E-2</v>
      </c>
      <c r="AX39" s="356">
        <f t="shared" si="88"/>
        <v>1.0000000000000009E-2</v>
      </c>
      <c r="AY39" s="357">
        <f t="shared" si="89"/>
        <v>133.22772277227722</v>
      </c>
      <c r="AZ39" s="356">
        <f t="shared" si="90"/>
        <v>1.7122012953174298E-3</v>
      </c>
      <c r="BA39" s="357">
        <f t="shared" si="91"/>
        <v>152.49137931034483</v>
      </c>
      <c r="BB39" s="356">
        <f t="shared" si="92"/>
        <v>1.7122012953174298E-3</v>
      </c>
    </row>
    <row r="40" spans="1:55" x14ac:dyDescent="0.3">
      <c r="A40" s="352" t="s">
        <v>149</v>
      </c>
      <c r="B40" s="357">
        <v>101</v>
      </c>
      <c r="C40" s="357">
        <v>102</v>
      </c>
      <c r="D40" s="357">
        <v>103</v>
      </c>
      <c r="E40" s="357">
        <v>118</v>
      </c>
      <c r="F40" s="357">
        <v>136</v>
      </c>
      <c r="G40" s="352">
        <v>0</v>
      </c>
      <c r="H40" s="356">
        <v>0</v>
      </c>
      <c r="I40" s="352">
        <f t="shared" si="62"/>
        <v>1.0777660290300874</v>
      </c>
      <c r="J40" s="357">
        <f t="shared" si="63"/>
        <v>101</v>
      </c>
      <c r="K40" s="357">
        <f t="shared" si="64"/>
        <v>102</v>
      </c>
      <c r="L40" s="357">
        <f t="shared" si="65"/>
        <v>103</v>
      </c>
      <c r="M40" s="357">
        <f t="shared" si="66"/>
        <v>118</v>
      </c>
      <c r="N40" s="357">
        <f t="shared" si="67"/>
        <v>136</v>
      </c>
      <c r="O40" s="352" t="str">
        <f t="shared" si="68"/>
        <v/>
      </c>
      <c r="P40" s="352" t="str">
        <f t="shared" si="69"/>
        <v/>
      </c>
      <c r="Q40" s="356">
        <f t="shared" si="70"/>
        <v>0.15254237288135597</v>
      </c>
      <c r="R40" s="356">
        <f t="shared" si="71"/>
        <v>0.14563106796116498</v>
      </c>
      <c r="S40" s="352" t="str">
        <f t="shared" si="72"/>
        <v/>
      </c>
      <c r="T40" s="357">
        <f t="shared" si="73"/>
        <v>130.37618503712164</v>
      </c>
      <c r="U40" s="356">
        <f t="shared" si="74"/>
        <v>4.1351580609399675E-2</v>
      </c>
      <c r="V40" s="357">
        <f t="shared" si="75"/>
        <v>131.91320982239554</v>
      </c>
      <c r="W40" s="356">
        <f t="shared" si="76"/>
        <v>3.0049927776503355E-2</v>
      </c>
      <c r="X40" s="357">
        <f t="shared" si="77"/>
        <v>133.87167223638261</v>
      </c>
      <c r="Y40" s="356">
        <f t="shared" si="78"/>
        <v>1.5649468850127884E-2</v>
      </c>
      <c r="Z40" s="357">
        <f t="shared" si="79"/>
        <v>156.46378147112063</v>
      </c>
      <c r="AA40" s="357">
        <f t="shared" si="80"/>
        <v>153.67260742768769</v>
      </c>
      <c r="AB40" s="357">
        <f t="shared" si="81"/>
        <v>154.95700242712903</v>
      </c>
      <c r="AC40" s="357">
        <f t="shared" si="82"/>
        <v>154.95700242712903</v>
      </c>
      <c r="AD40" s="356">
        <f t="shared" si="83"/>
        <v>7.7219939445652752E-2</v>
      </c>
      <c r="AE40" s="352" t="s">
        <v>541</v>
      </c>
      <c r="AF40" s="356">
        <f>AVERAGE(Q44:Q46)</f>
        <v>0.14803090258149609</v>
      </c>
      <c r="AG40" s="352" t="s">
        <v>539</v>
      </c>
      <c r="AH40" s="356">
        <f>(SUM(Q38:Q49)-SUM(Q44:Q46))/9</f>
        <v>0.15031823212245002</v>
      </c>
      <c r="AI40" s="352" t="s">
        <v>204</v>
      </c>
      <c r="AJ40" s="356">
        <f>ABS(AF40-AH40)</f>
        <v>2.2873295409539252E-3</v>
      </c>
      <c r="AK40" s="356">
        <f t="shared" si="84"/>
        <v>5.322270081365299E-2</v>
      </c>
      <c r="AL40" s="352" t="s">
        <v>541</v>
      </c>
      <c r="AM40" s="356">
        <f>AVERAGE(R44:R46)</f>
        <v>0.15110146718590575</v>
      </c>
      <c r="AN40" s="352" t="s">
        <v>539</v>
      </c>
      <c r="AO40" s="356">
        <f>(SUM(R38:R49)-SUM(R44:R46))/9</f>
        <v>0.1486434153736006</v>
      </c>
      <c r="AP40" s="352" t="s">
        <v>204</v>
      </c>
      <c r="AQ40" s="356">
        <f>ABS(AM40-AO40)</f>
        <v>2.4580518123051565E-3</v>
      </c>
      <c r="AR40" s="356">
        <f t="shared" si="85"/>
        <v>-4.1351580609399675E-2</v>
      </c>
      <c r="AS40" s="356">
        <f t="shared" si="86"/>
        <v>-3.0049927776503355E-2</v>
      </c>
      <c r="AT40" s="356">
        <f t="shared" si="87"/>
        <v>-1.5649468850127884E-2</v>
      </c>
      <c r="AX40" s="356">
        <f t="shared" si="88"/>
        <v>9.8039215686274161E-3</v>
      </c>
      <c r="AY40" s="357">
        <f t="shared" si="89"/>
        <v>135.18446601941747</v>
      </c>
      <c r="AZ40" s="356">
        <f t="shared" si="90"/>
        <v>5.9965733866362446E-3</v>
      </c>
      <c r="BA40" s="357">
        <f t="shared" si="91"/>
        <v>156.74576271186442</v>
      </c>
      <c r="BB40" s="356">
        <f t="shared" si="92"/>
        <v>-5.9965733866362446E-3</v>
      </c>
    </row>
    <row r="41" spans="1:55" x14ac:dyDescent="0.3">
      <c r="A41" s="352" t="s">
        <v>150</v>
      </c>
      <c r="B41" s="357">
        <v>103</v>
      </c>
      <c r="C41" s="357">
        <v>104</v>
      </c>
      <c r="D41" s="357">
        <v>105</v>
      </c>
      <c r="E41" s="357">
        <v>121</v>
      </c>
      <c r="F41" s="357">
        <v>139</v>
      </c>
      <c r="G41" s="352">
        <v>0</v>
      </c>
      <c r="H41" s="356">
        <v>0</v>
      </c>
      <c r="I41" s="352">
        <f t="shared" si="62"/>
        <v>1.079234534221295</v>
      </c>
      <c r="J41" s="357">
        <f t="shared" si="63"/>
        <v>103</v>
      </c>
      <c r="K41" s="357">
        <f t="shared" si="64"/>
        <v>104</v>
      </c>
      <c r="L41" s="357">
        <f t="shared" si="65"/>
        <v>105</v>
      </c>
      <c r="M41" s="357">
        <f t="shared" si="66"/>
        <v>121</v>
      </c>
      <c r="N41" s="357">
        <f t="shared" si="67"/>
        <v>139</v>
      </c>
      <c r="O41" s="352" t="str">
        <f t="shared" si="68"/>
        <v/>
      </c>
      <c r="P41" s="352" t="str">
        <f t="shared" si="69"/>
        <v/>
      </c>
      <c r="Q41" s="356">
        <f t="shared" si="70"/>
        <v>0.14876033057851235</v>
      </c>
      <c r="R41" s="356">
        <f t="shared" si="71"/>
        <v>0.15238095238095228</v>
      </c>
      <c r="S41" s="352" t="str">
        <f t="shared" si="72"/>
        <v/>
      </c>
      <c r="T41" s="357">
        <f t="shared" si="73"/>
        <v>134.25570512820514</v>
      </c>
      <c r="U41" s="356">
        <f t="shared" si="74"/>
        <v>3.4131617782696862E-2</v>
      </c>
      <c r="V41" s="357">
        <f t="shared" si="75"/>
        <v>135.90877440710662</v>
      </c>
      <c r="W41" s="356">
        <f t="shared" si="76"/>
        <v>2.223903304239842E-2</v>
      </c>
      <c r="X41" s="357">
        <f t="shared" si="77"/>
        <v>137.27518932713809</v>
      </c>
      <c r="Y41" s="356">
        <f t="shared" si="78"/>
        <v>1.2408709876704362E-2</v>
      </c>
      <c r="Z41" s="357">
        <f t="shared" si="79"/>
        <v>159.82866587957497</v>
      </c>
      <c r="AA41" s="357">
        <f t="shared" si="80"/>
        <v>156.71928330912795</v>
      </c>
      <c r="AB41" s="357">
        <f t="shared" si="81"/>
        <v>158.37517159831569</v>
      </c>
      <c r="AC41" s="357">
        <f t="shared" si="82"/>
        <v>158.37517159831569</v>
      </c>
      <c r="AD41" s="356">
        <f t="shared" si="83"/>
        <v>7.7815423113637427E-2</v>
      </c>
      <c r="AE41" s="352" t="s">
        <v>542</v>
      </c>
      <c r="AF41" s="356">
        <f>AVERAGE(Q47:Q49)</f>
        <v>0.1514048712280105</v>
      </c>
      <c r="AG41" s="352" t="s">
        <v>539</v>
      </c>
      <c r="AH41" s="356">
        <f>(SUM(Q38:Q49)-SUM(Q47:Q49))/9</f>
        <v>0.14919357590694524</v>
      </c>
      <c r="AI41" s="352" t="s">
        <v>204</v>
      </c>
      <c r="AJ41" s="356">
        <f>ABS(AF41-AH41)</f>
        <v>2.2112953210652597E-3</v>
      </c>
      <c r="AK41" s="356">
        <f t="shared" si="84"/>
        <v>5.5154483207712213E-2</v>
      </c>
      <c r="AL41" s="352" t="s">
        <v>542</v>
      </c>
      <c r="AM41" s="356">
        <f>AVERAGE(R47:R49)</f>
        <v>0.14756329716352554</v>
      </c>
      <c r="AN41" s="352" t="s">
        <v>539</v>
      </c>
      <c r="AO41" s="356">
        <f>(SUM(R38:R49)-SUM(R47:R49))/9</f>
        <v>0.14982280538106069</v>
      </c>
      <c r="AP41" s="352" t="s">
        <v>204</v>
      </c>
      <c r="AQ41" s="356">
        <f>ABS(AM41-AO41)</f>
        <v>2.25950821753515E-3</v>
      </c>
      <c r="AR41" s="356">
        <f t="shared" si="85"/>
        <v>-3.4131617782696862E-2</v>
      </c>
      <c r="AS41" s="356">
        <f t="shared" si="86"/>
        <v>-2.223903304239842E-2</v>
      </c>
      <c r="AT41" s="356">
        <f t="shared" si="87"/>
        <v>-1.2408709876704362E-2</v>
      </c>
      <c r="AX41" s="356">
        <f t="shared" si="88"/>
        <v>9.6153846153845812E-3</v>
      </c>
      <c r="AY41" s="357">
        <f t="shared" si="89"/>
        <v>139.43809523809523</v>
      </c>
      <c r="AZ41" s="356">
        <f t="shared" si="90"/>
        <v>3.1517643028433772E-3</v>
      </c>
      <c r="BA41" s="357">
        <f t="shared" si="91"/>
        <v>159.67768595041321</v>
      </c>
      <c r="BB41" s="356">
        <f t="shared" si="92"/>
        <v>3.1517643028433772E-3</v>
      </c>
    </row>
    <row r="42" spans="1:55" x14ac:dyDescent="0.3">
      <c r="A42" s="352" t="s">
        <v>151</v>
      </c>
      <c r="B42" s="357">
        <v>100</v>
      </c>
      <c r="C42" s="357">
        <v>101</v>
      </c>
      <c r="D42" s="357">
        <v>102</v>
      </c>
      <c r="E42" s="357">
        <v>117</v>
      </c>
      <c r="F42" s="357">
        <v>135</v>
      </c>
      <c r="G42" s="352">
        <v>0</v>
      </c>
      <c r="H42" s="356">
        <v>0</v>
      </c>
      <c r="I42" s="352">
        <f t="shared" si="62"/>
        <v>1.078529411764706</v>
      </c>
      <c r="J42" s="357">
        <f t="shared" si="63"/>
        <v>100</v>
      </c>
      <c r="K42" s="357">
        <f t="shared" si="64"/>
        <v>101</v>
      </c>
      <c r="L42" s="357">
        <f t="shared" si="65"/>
        <v>102</v>
      </c>
      <c r="M42" s="357">
        <f t="shared" si="66"/>
        <v>117</v>
      </c>
      <c r="N42" s="357">
        <f t="shared" si="67"/>
        <v>135</v>
      </c>
      <c r="O42" s="352" t="str">
        <f t="shared" si="68"/>
        <v/>
      </c>
      <c r="P42" s="352" t="str">
        <f t="shared" si="69"/>
        <v/>
      </c>
      <c r="Q42" s="356">
        <f t="shared" si="70"/>
        <v>0.15384615384615374</v>
      </c>
      <c r="R42" s="356">
        <f t="shared" si="71"/>
        <v>0.14705882352941169</v>
      </c>
      <c r="S42" s="352" t="str">
        <f t="shared" si="72"/>
        <v/>
      </c>
      <c r="T42" s="357">
        <f t="shared" si="73"/>
        <v>129.39164239953408</v>
      </c>
      <c r="U42" s="356">
        <f t="shared" si="74"/>
        <v>4.1543389633080907E-2</v>
      </c>
      <c r="V42" s="357">
        <f t="shared" si="75"/>
        <v>130.92997897739886</v>
      </c>
      <c r="W42" s="356">
        <f t="shared" si="76"/>
        <v>3.0148303871119549E-2</v>
      </c>
      <c r="X42" s="357">
        <f t="shared" si="77"/>
        <v>132.73716653946408</v>
      </c>
      <c r="Y42" s="356">
        <f t="shared" si="78"/>
        <v>1.6761729337303081E-2</v>
      </c>
      <c r="Z42" s="357">
        <f t="shared" si="79"/>
        <v>155.49434389140274</v>
      </c>
      <c r="AA42" s="357">
        <f t="shared" si="80"/>
        <v>152.69391114197629</v>
      </c>
      <c r="AB42" s="357">
        <f t="shared" si="81"/>
        <v>153.81761270340013</v>
      </c>
      <c r="AC42" s="357">
        <f t="shared" si="82"/>
        <v>153.81761270340013</v>
      </c>
      <c r="AD42" s="356">
        <f t="shared" si="83"/>
        <v>7.7912335889252615E-2</v>
      </c>
      <c r="AG42" s="352" t="s">
        <v>543</v>
      </c>
      <c r="AH42" s="356">
        <f>MAX(AJ38:AJ41)</f>
        <v>2.2873295409539252E-3</v>
      </c>
      <c r="AK42" s="356">
        <f t="shared" si="84"/>
        <v>5.3728243029631084E-2</v>
      </c>
      <c r="AN42" s="352" t="s">
        <v>543</v>
      </c>
      <c r="AO42" s="356">
        <f>MAX(AQ38:AQ41)</f>
        <v>2.4580518123051565E-3</v>
      </c>
      <c r="AR42" s="356">
        <f t="shared" si="85"/>
        <v>-4.1543389633080907E-2</v>
      </c>
      <c r="AS42" s="356">
        <f t="shared" si="86"/>
        <v>-3.0148303871119549E-2</v>
      </c>
      <c r="AT42" s="356">
        <f t="shared" si="87"/>
        <v>-1.6761729337303081E-2</v>
      </c>
      <c r="AX42" s="356">
        <f t="shared" si="88"/>
        <v>9.9009900990099098E-3</v>
      </c>
      <c r="AY42" s="357">
        <f t="shared" si="89"/>
        <v>134.20588235294116</v>
      </c>
      <c r="AZ42" s="356">
        <f t="shared" si="90"/>
        <v>5.8823529411765945E-3</v>
      </c>
      <c r="BA42" s="357">
        <f t="shared" si="91"/>
        <v>155.76923076923075</v>
      </c>
      <c r="BB42" s="356">
        <f t="shared" si="92"/>
        <v>-5.8823529411765945E-3</v>
      </c>
    </row>
    <row r="43" spans="1:55" x14ac:dyDescent="0.3">
      <c r="A43" s="352" t="s">
        <v>152</v>
      </c>
      <c r="B43" s="357">
        <v>98</v>
      </c>
      <c r="C43" s="357">
        <v>99</v>
      </c>
      <c r="D43" s="357">
        <v>100</v>
      </c>
      <c r="E43" s="357">
        <v>115</v>
      </c>
      <c r="F43" s="357">
        <v>132</v>
      </c>
      <c r="G43" s="352">
        <v>0</v>
      </c>
      <c r="H43" s="356">
        <v>0</v>
      </c>
      <c r="I43" s="352">
        <f t="shared" si="62"/>
        <v>1.0790150842945874</v>
      </c>
      <c r="J43" s="357">
        <f t="shared" si="63"/>
        <v>98</v>
      </c>
      <c r="K43" s="357">
        <f t="shared" si="64"/>
        <v>99</v>
      </c>
      <c r="L43" s="357">
        <f t="shared" si="65"/>
        <v>100</v>
      </c>
      <c r="M43" s="357">
        <f t="shared" si="66"/>
        <v>115</v>
      </c>
      <c r="N43" s="357">
        <f t="shared" si="67"/>
        <v>132</v>
      </c>
      <c r="O43" s="352" t="str">
        <f t="shared" si="68"/>
        <v/>
      </c>
      <c r="P43" s="352" t="str">
        <f t="shared" si="69"/>
        <v/>
      </c>
      <c r="Q43" s="356">
        <f t="shared" si="70"/>
        <v>0.14782608695652177</v>
      </c>
      <c r="R43" s="356">
        <f t="shared" si="71"/>
        <v>0.14999999999999991</v>
      </c>
      <c r="S43" s="352" t="str">
        <f t="shared" si="72"/>
        <v/>
      </c>
      <c r="T43" s="357">
        <f t="shared" si="73"/>
        <v>127.42348484848486</v>
      </c>
      <c r="U43" s="356">
        <f t="shared" si="74"/>
        <v>3.4670569329660145E-2</v>
      </c>
      <c r="V43" s="357">
        <f t="shared" si="75"/>
        <v>128.96452192263061</v>
      </c>
      <c r="W43" s="356">
        <f t="shared" si="76"/>
        <v>2.29960460406772E-2</v>
      </c>
      <c r="X43" s="357">
        <f t="shared" si="77"/>
        <v>130.46815514562709</v>
      </c>
      <c r="Y43" s="356">
        <f t="shared" si="78"/>
        <v>1.1604885260400804E-2</v>
      </c>
      <c r="Z43" s="357">
        <f t="shared" si="79"/>
        <v>151.59913043478264</v>
      </c>
      <c r="AA43" s="357">
        <f t="shared" si="80"/>
        <v>148.72024030014882</v>
      </c>
      <c r="AB43" s="357">
        <f t="shared" si="81"/>
        <v>150.39944353221347</v>
      </c>
      <c r="AC43" s="357">
        <f t="shared" si="82"/>
        <v>150.39944353221347</v>
      </c>
      <c r="AD43" s="356">
        <f t="shared" si="83"/>
        <v>7.7300754175914532E-2</v>
      </c>
      <c r="AE43" s="352" t="s">
        <v>544</v>
      </c>
      <c r="AH43" s="356">
        <f>IF(AJ38=$AH$42,AH38,IF(AJ39=$AH$42,AH39,IF(AJ40=$AH$42,AH40,AH41)))</f>
        <v>0.15031823212245002</v>
      </c>
      <c r="AK43" s="356">
        <f t="shared" si="84"/>
        <v>5.4768751380597669E-2</v>
      </c>
      <c r="AL43" s="352" t="s">
        <v>544</v>
      </c>
      <c r="AO43" s="356">
        <f>IF(AQ38=$AO$42,AO38,IF(AQ39=$AO$42,AO39,IF(AQ40=$AO$42,AO40,AO41)))</f>
        <v>0.1486434153736006</v>
      </c>
      <c r="AR43" s="356">
        <f t="shared" si="85"/>
        <v>-3.4670569329660145E-2</v>
      </c>
      <c r="AS43" s="356">
        <f t="shared" si="86"/>
        <v>-2.29960460406772E-2</v>
      </c>
      <c r="AT43" s="356">
        <f t="shared" si="87"/>
        <v>-1.1604885260400804E-2</v>
      </c>
      <c r="AX43" s="356">
        <f t="shared" si="88"/>
        <v>1.0101010101010166E-2</v>
      </c>
      <c r="AY43" s="357">
        <f t="shared" si="89"/>
        <v>132.25</v>
      </c>
      <c r="AZ43" s="356">
        <f t="shared" si="90"/>
        <v>1.893939393939394E-3</v>
      </c>
      <c r="BA43" s="357">
        <f t="shared" si="91"/>
        <v>151.51304347826087</v>
      </c>
      <c r="BB43" s="356">
        <f t="shared" si="92"/>
        <v>1.893939393939394E-3</v>
      </c>
    </row>
    <row r="44" spans="1:55" x14ac:dyDescent="0.3">
      <c r="A44" s="352" t="s">
        <v>153</v>
      </c>
      <c r="B44" s="357">
        <v>102</v>
      </c>
      <c r="C44" s="357">
        <v>103</v>
      </c>
      <c r="D44" s="357">
        <v>104</v>
      </c>
      <c r="E44" s="357">
        <v>120</v>
      </c>
      <c r="F44" s="357">
        <v>138</v>
      </c>
      <c r="G44" s="352">
        <v>0</v>
      </c>
      <c r="H44" s="356">
        <v>0</v>
      </c>
      <c r="I44" s="352">
        <f t="shared" si="62"/>
        <v>1.0799019607843137</v>
      </c>
      <c r="J44" s="357">
        <f t="shared" si="63"/>
        <v>102</v>
      </c>
      <c r="K44" s="357">
        <f t="shared" si="64"/>
        <v>103</v>
      </c>
      <c r="L44" s="357">
        <f t="shared" si="65"/>
        <v>104</v>
      </c>
      <c r="M44" s="357">
        <f t="shared" si="66"/>
        <v>120</v>
      </c>
      <c r="N44" s="357">
        <f t="shared" si="67"/>
        <v>138</v>
      </c>
      <c r="O44" s="352" t="str">
        <f t="shared" si="68"/>
        <v/>
      </c>
      <c r="P44" s="352" t="str">
        <f t="shared" si="69"/>
        <v/>
      </c>
      <c r="Q44" s="356">
        <f t="shared" si="70"/>
        <v>0.14999999999999991</v>
      </c>
      <c r="R44" s="356">
        <f t="shared" si="71"/>
        <v>0.15384615384615374</v>
      </c>
      <c r="S44" s="352" t="str">
        <f t="shared" si="72"/>
        <v/>
      </c>
      <c r="T44" s="357">
        <f t="shared" si="73"/>
        <v>133.27259148618373</v>
      </c>
      <c r="U44" s="356">
        <f t="shared" si="74"/>
        <v>3.4256583433451247E-2</v>
      </c>
      <c r="V44" s="357">
        <f t="shared" si="75"/>
        <v>134.92709583428496</v>
      </c>
      <c r="W44" s="356">
        <f t="shared" si="76"/>
        <v>2.2267421490688728E-2</v>
      </c>
      <c r="X44" s="357">
        <f t="shared" si="77"/>
        <v>136.1406836302196</v>
      </c>
      <c r="Y44" s="356">
        <f t="shared" si="78"/>
        <v>1.3473307027394214E-2</v>
      </c>
      <c r="Z44" s="357">
        <f t="shared" si="79"/>
        <v>158.85923076923078</v>
      </c>
      <c r="AA44" s="357">
        <f t="shared" si="80"/>
        <v>155.73985673967761</v>
      </c>
      <c r="AB44" s="357">
        <f t="shared" si="81"/>
        <v>157.23578187458682</v>
      </c>
      <c r="AC44" s="357">
        <f t="shared" si="82"/>
        <v>157.23578187458682</v>
      </c>
      <c r="AD44" s="356">
        <f t="shared" si="83"/>
        <v>7.8498955064676634E-2</v>
      </c>
      <c r="AE44" s="352" t="s">
        <v>545</v>
      </c>
      <c r="AF44" s="352" t="str">
        <f>IF(ABS($AF$37-AH43)&lt;$H$3,IF($AH$42&lt;$J$3,"H1 stable","H3 choc isolé"),"H2 rupture durable")</f>
        <v>H2 rupture durable</v>
      </c>
      <c r="AK44" s="356">
        <f t="shared" si="84"/>
        <v>5.5667191978000741E-2</v>
      </c>
      <c r="AL44" s="352" t="s">
        <v>545</v>
      </c>
      <c r="AM44" s="352" t="str">
        <f>IF(ABS($AM$37-AO43)&lt;$H$3,IF($AO$42&lt;$J$3,"H1 stable","H3 choc isolé"),"H2 rupture durable")</f>
        <v>H2 rupture durable</v>
      </c>
      <c r="AR44" s="356">
        <f t="shared" si="85"/>
        <v>-3.4256583433451247E-2</v>
      </c>
      <c r="AS44" s="356">
        <f t="shared" si="86"/>
        <v>-2.2267421490688728E-2</v>
      </c>
      <c r="AT44" s="356">
        <f t="shared" si="87"/>
        <v>-1.3473307027394214E-2</v>
      </c>
      <c r="AX44" s="356">
        <f t="shared" si="88"/>
        <v>9.7087378640776656E-3</v>
      </c>
      <c r="AY44" s="357">
        <f t="shared" si="89"/>
        <v>138.46153846153845</v>
      </c>
      <c r="AZ44" s="356">
        <f t="shared" si="90"/>
        <v>3.3444816053511072E-3</v>
      </c>
      <c r="BA44" s="357">
        <f t="shared" si="91"/>
        <v>158.69999999999999</v>
      </c>
      <c r="BB44" s="356">
        <f t="shared" si="92"/>
        <v>3.3444816053511072E-3</v>
      </c>
    </row>
    <row r="45" spans="1:55" x14ac:dyDescent="0.3">
      <c r="A45" s="352" t="s">
        <v>154</v>
      </c>
      <c r="B45" s="357">
        <v>104</v>
      </c>
      <c r="C45" s="357">
        <v>105</v>
      </c>
      <c r="D45" s="357">
        <v>106</v>
      </c>
      <c r="E45" s="357">
        <v>122</v>
      </c>
      <c r="F45" s="357">
        <v>140</v>
      </c>
      <c r="G45" s="352">
        <v>0</v>
      </c>
      <c r="H45" s="356">
        <v>0</v>
      </c>
      <c r="I45" s="352">
        <f t="shared" si="62"/>
        <v>1.078578184110971</v>
      </c>
      <c r="J45" s="357">
        <f t="shared" si="63"/>
        <v>104</v>
      </c>
      <c r="K45" s="357">
        <f t="shared" si="64"/>
        <v>105</v>
      </c>
      <c r="L45" s="357">
        <f t="shared" si="65"/>
        <v>106</v>
      </c>
      <c r="M45" s="357">
        <f t="shared" si="66"/>
        <v>122</v>
      </c>
      <c r="N45" s="357">
        <f t="shared" si="67"/>
        <v>140</v>
      </c>
      <c r="O45" s="352" t="str">
        <f t="shared" si="68"/>
        <v/>
      </c>
      <c r="P45" s="352" t="str">
        <f t="shared" si="69"/>
        <v/>
      </c>
      <c r="Q45" s="356">
        <f t="shared" si="70"/>
        <v>0.14754098360655732</v>
      </c>
      <c r="R45" s="356">
        <f t="shared" si="71"/>
        <v>0.15094339622641506</v>
      </c>
      <c r="S45" s="352" t="str">
        <f t="shared" si="72"/>
        <v/>
      </c>
      <c r="T45" s="357">
        <f t="shared" si="73"/>
        <v>135.23913746630728</v>
      </c>
      <c r="U45" s="356">
        <f t="shared" si="74"/>
        <v>3.4006160954947975E-2</v>
      </c>
      <c r="V45" s="357">
        <f t="shared" si="75"/>
        <v>136.89079811966604</v>
      </c>
      <c r="W45" s="356">
        <f t="shared" si="76"/>
        <v>2.2208584859528254E-2</v>
      </c>
      <c r="X45" s="357">
        <f t="shared" si="77"/>
        <v>138.40969502405659</v>
      </c>
      <c r="Y45" s="356">
        <f t="shared" si="78"/>
        <v>1.1359321256738652E-2</v>
      </c>
      <c r="Z45" s="357">
        <f t="shared" si="79"/>
        <v>160.79863903495206</v>
      </c>
      <c r="AA45" s="357">
        <f t="shared" si="80"/>
        <v>157.69905475256488</v>
      </c>
      <c r="AB45" s="357">
        <f t="shared" si="81"/>
        <v>159.51456132204459</v>
      </c>
      <c r="AC45" s="357">
        <f t="shared" si="82"/>
        <v>159.51456132204459</v>
      </c>
      <c r="AD45" s="356">
        <f t="shared" si="83"/>
        <v>7.7143770455291971E-2</v>
      </c>
      <c r="AE45" s="352" t="s">
        <v>546</v>
      </c>
      <c r="AF45" s="356">
        <f>IF(ABS($AF$37-AH43)&lt;$H$3,$AF$37,$L$3*AH43+(1-$L$3)*$AF$37)</f>
        <v>0.13938972372888994</v>
      </c>
      <c r="AK45" s="356">
        <f t="shared" si="84"/>
        <v>5.4651149779513686E-2</v>
      </c>
      <c r="AL45" s="352" t="s">
        <v>546</v>
      </c>
      <c r="AM45" s="356">
        <f>IF(ABS($AM$37-AO43)&lt;$H$3,$AM$37,$L$3*AO43+(1-$L$3)*$AM$37)</f>
        <v>0.13450569691849651</v>
      </c>
      <c r="AR45" s="356">
        <f t="shared" si="85"/>
        <v>-3.4006160954947975E-2</v>
      </c>
      <c r="AS45" s="356">
        <f t="shared" si="86"/>
        <v>-2.2208584859528254E-2</v>
      </c>
      <c r="AT45" s="356">
        <f t="shared" si="87"/>
        <v>-1.1359321256738652E-2</v>
      </c>
      <c r="AX45" s="356">
        <f t="shared" si="88"/>
        <v>9.52380952380949E-3</v>
      </c>
      <c r="AY45" s="357">
        <f t="shared" si="89"/>
        <v>140.41509433962264</v>
      </c>
      <c r="AZ45" s="356">
        <f t="shared" si="90"/>
        <v>2.9649595687331496E-3</v>
      </c>
      <c r="BA45" s="357">
        <f t="shared" si="91"/>
        <v>160.65573770491801</v>
      </c>
      <c r="BB45" s="356">
        <f t="shared" si="92"/>
        <v>2.9649595687331496E-3</v>
      </c>
    </row>
    <row r="46" spans="1:55" x14ac:dyDescent="0.3">
      <c r="A46" s="352" t="s">
        <v>155</v>
      </c>
      <c r="B46" s="357">
        <v>99</v>
      </c>
      <c r="C46" s="357">
        <v>100</v>
      </c>
      <c r="D46" s="357">
        <v>101</v>
      </c>
      <c r="E46" s="357">
        <v>116</v>
      </c>
      <c r="F46" s="357">
        <v>133</v>
      </c>
      <c r="G46" s="352">
        <v>0</v>
      </c>
      <c r="H46" s="356">
        <v>0</v>
      </c>
      <c r="I46" s="352">
        <f t="shared" si="62"/>
        <v>1.0783263671194705</v>
      </c>
      <c r="J46" s="357">
        <f t="shared" si="63"/>
        <v>99</v>
      </c>
      <c r="K46" s="357">
        <f t="shared" si="64"/>
        <v>100</v>
      </c>
      <c r="L46" s="357">
        <f t="shared" si="65"/>
        <v>101</v>
      </c>
      <c r="M46" s="357">
        <f t="shared" si="66"/>
        <v>116</v>
      </c>
      <c r="N46" s="357">
        <f t="shared" si="67"/>
        <v>133</v>
      </c>
      <c r="O46" s="352" t="str">
        <f t="shared" si="68"/>
        <v/>
      </c>
      <c r="P46" s="352" t="str">
        <f t="shared" si="69"/>
        <v/>
      </c>
      <c r="Q46" s="356">
        <f t="shared" si="70"/>
        <v>0.14655172413793105</v>
      </c>
      <c r="R46" s="356">
        <f t="shared" si="71"/>
        <v>0.14851485148514842</v>
      </c>
      <c r="S46" s="352" t="str">
        <f t="shared" si="72"/>
        <v/>
      </c>
      <c r="T46" s="357">
        <f t="shared" si="73"/>
        <v>128.40740594059406</v>
      </c>
      <c r="U46" s="356">
        <f t="shared" si="74"/>
        <v>3.4530782401548422E-2</v>
      </c>
      <c r="V46" s="357">
        <f t="shared" si="75"/>
        <v>129.94707969970852</v>
      </c>
      <c r="W46" s="356">
        <f t="shared" si="76"/>
        <v>2.2954287972116356E-2</v>
      </c>
      <c r="X46" s="357">
        <f t="shared" si="77"/>
        <v>131.60266084254559</v>
      </c>
      <c r="Y46" s="356">
        <f t="shared" si="78"/>
        <v>1.0506309454544444E-2</v>
      </c>
      <c r="Z46" s="357">
        <f t="shared" si="79"/>
        <v>152.56970809149882</v>
      </c>
      <c r="AA46" s="357">
        <f t="shared" si="80"/>
        <v>149.70027941599221</v>
      </c>
      <c r="AB46" s="357">
        <f t="shared" si="81"/>
        <v>151.53883325594236</v>
      </c>
      <c r="AC46" s="357">
        <f t="shared" si="82"/>
        <v>151.53883325594236</v>
      </c>
      <c r="AD46" s="356">
        <f t="shared" si="83"/>
        <v>7.6599345833353594E-2</v>
      </c>
      <c r="AK46" s="356">
        <f t="shared" si="84"/>
        <v>5.4243498825128356E-2</v>
      </c>
      <c r="AR46" s="356">
        <f t="shared" si="85"/>
        <v>-3.4530782401548422E-2</v>
      </c>
      <c r="AS46" s="356">
        <f t="shared" si="86"/>
        <v>-2.2954287972116356E-2</v>
      </c>
      <c r="AT46" s="356">
        <f t="shared" si="87"/>
        <v>-1.0506309454544444E-2</v>
      </c>
      <c r="AX46" s="356">
        <f t="shared" si="88"/>
        <v>1.0000000000000009E-2</v>
      </c>
      <c r="AY46" s="357">
        <f t="shared" si="89"/>
        <v>133.22772277227722</v>
      </c>
      <c r="AZ46" s="356">
        <f t="shared" si="90"/>
        <v>1.7122012953174298E-3</v>
      </c>
      <c r="BA46" s="357">
        <f t="shared" si="91"/>
        <v>152.49137931034483</v>
      </c>
      <c r="BB46" s="356">
        <f t="shared" si="92"/>
        <v>1.7122012953174298E-3</v>
      </c>
    </row>
    <row r="47" spans="1:55" x14ac:dyDescent="0.3">
      <c r="A47" s="352" t="s">
        <v>156</v>
      </c>
      <c r="B47" s="357">
        <v>101</v>
      </c>
      <c r="C47" s="357">
        <v>102</v>
      </c>
      <c r="D47" s="357">
        <v>103</v>
      </c>
      <c r="E47" s="357">
        <v>118</v>
      </c>
      <c r="F47" s="357">
        <v>136</v>
      </c>
      <c r="G47" s="352">
        <v>0</v>
      </c>
      <c r="H47" s="356">
        <v>0</v>
      </c>
      <c r="I47" s="352">
        <f t="shared" si="62"/>
        <v>1.0777660290300874</v>
      </c>
      <c r="J47" s="357">
        <f t="shared" si="63"/>
        <v>101</v>
      </c>
      <c r="K47" s="357">
        <f t="shared" si="64"/>
        <v>102</v>
      </c>
      <c r="L47" s="357">
        <f t="shared" si="65"/>
        <v>103</v>
      </c>
      <c r="M47" s="357">
        <f t="shared" si="66"/>
        <v>118</v>
      </c>
      <c r="N47" s="357">
        <f t="shared" si="67"/>
        <v>136</v>
      </c>
      <c r="O47" s="352" t="str">
        <f t="shared" si="68"/>
        <v/>
      </c>
      <c r="P47" s="352" t="str">
        <f t="shared" si="69"/>
        <v/>
      </c>
      <c r="Q47" s="356">
        <f t="shared" si="70"/>
        <v>0.15254237288135597</v>
      </c>
      <c r="R47" s="356">
        <f t="shared" si="71"/>
        <v>0.14563106796116498</v>
      </c>
      <c r="S47" s="352" t="str">
        <f t="shared" si="72"/>
        <v/>
      </c>
      <c r="T47" s="357">
        <f t="shared" si="73"/>
        <v>130.37618503712164</v>
      </c>
      <c r="U47" s="356">
        <f t="shared" si="74"/>
        <v>4.1351580609399675E-2</v>
      </c>
      <c r="V47" s="357">
        <f t="shared" si="75"/>
        <v>131.91320982239554</v>
      </c>
      <c r="W47" s="356">
        <f t="shared" si="76"/>
        <v>3.0049927776503355E-2</v>
      </c>
      <c r="X47" s="357">
        <f t="shared" si="77"/>
        <v>133.87167223638261</v>
      </c>
      <c r="Y47" s="356">
        <f t="shared" si="78"/>
        <v>1.5649468850127884E-2</v>
      </c>
      <c r="Z47" s="357">
        <f t="shared" si="79"/>
        <v>156.46378147112063</v>
      </c>
      <c r="AA47" s="357">
        <f t="shared" si="80"/>
        <v>153.67260742768769</v>
      </c>
      <c r="AB47" s="357">
        <f t="shared" si="81"/>
        <v>154.95700242712903</v>
      </c>
      <c r="AC47" s="357">
        <f t="shared" si="82"/>
        <v>154.95700242712903</v>
      </c>
      <c r="AD47" s="356">
        <f t="shared" si="83"/>
        <v>7.7219939445652752E-2</v>
      </c>
      <c r="AK47" s="356">
        <f t="shared" si="84"/>
        <v>5.322270081365299E-2</v>
      </c>
      <c r="AR47" s="356">
        <f t="shared" si="85"/>
        <v>-4.1351580609399675E-2</v>
      </c>
      <c r="AS47" s="356">
        <f t="shared" si="86"/>
        <v>-3.0049927776503355E-2</v>
      </c>
      <c r="AT47" s="356">
        <f t="shared" si="87"/>
        <v>-1.5649468850127884E-2</v>
      </c>
      <c r="AX47" s="356">
        <f t="shared" si="88"/>
        <v>9.8039215686274161E-3</v>
      </c>
      <c r="AY47" s="357">
        <f t="shared" si="89"/>
        <v>135.18446601941747</v>
      </c>
      <c r="AZ47" s="356">
        <f t="shared" si="90"/>
        <v>5.9965733866362446E-3</v>
      </c>
      <c r="BA47" s="357">
        <f t="shared" si="91"/>
        <v>156.74576271186442</v>
      </c>
      <c r="BB47" s="356">
        <f t="shared" si="92"/>
        <v>-5.9965733866362446E-3</v>
      </c>
    </row>
    <row r="48" spans="1:55" x14ac:dyDescent="0.3">
      <c r="A48" s="352" t="s">
        <v>157</v>
      </c>
      <c r="B48" s="357">
        <v>98</v>
      </c>
      <c r="C48" s="357">
        <v>99</v>
      </c>
      <c r="D48" s="357">
        <v>100</v>
      </c>
      <c r="E48" s="357">
        <v>115</v>
      </c>
      <c r="F48" s="357">
        <v>132</v>
      </c>
      <c r="G48" s="352">
        <v>0</v>
      </c>
      <c r="H48" s="356">
        <v>0</v>
      </c>
      <c r="I48" s="352">
        <f t="shared" si="62"/>
        <v>1.0790150842945874</v>
      </c>
      <c r="J48" s="357">
        <f t="shared" si="63"/>
        <v>98</v>
      </c>
      <c r="K48" s="357">
        <f t="shared" si="64"/>
        <v>99</v>
      </c>
      <c r="L48" s="357">
        <f t="shared" si="65"/>
        <v>100</v>
      </c>
      <c r="M48" s="357">
        <f t="shared" si="66"/>
        <v>115</v>
      </c>
      <c r="N48" s="357">
        <f t="shared" si="67"/>
        <v>132</v>
      </c>
      <c r="O48" s="352" t="str">
        <f t="shared" si="68"/>
        <v/>
      </c>
      <c r="P48" s="352" t="str">
        <f t="shared" si="69"/>
        <v/>
      </c>
      <c r="Q48" s="356">
        <f t="shared" si="70"/>
        <v>0.14782608695652177</v>
      </c>
      <c r="R48" s="356">
        <f t="shared" si="71"/>
        <v>0.14999999999999991</v>
      </c>
      <c r="S48" s="352" t="str">
        <f t="shared" si="72"/>
        <v/>
      </c>
      <c r="T48" s="357">
        <f t="shared" si="73"/>
        <v>127.42348484848486</v>
      </c>
      <c r="U48" s="356">
        <f t="shared" si="74"/>
        <v>3.4670569329660145E-2</v>
      </c>
      <c r="V48" s="357">
        <f t="shared" si="75"/>
        <v>128.96452192263061</v>
      </c>
      <c r="W48" s="356">
        <f t="shared" si="76"/>
        <v>2.29960460406772E-2</v>
      </c>
      <c r="X48" s="357">
        <f t="shared" si="77"/>
        <v>130.46815514562709</v>
      </c>
      <c r="Y48" s="356">
        <f t="shared" si="78"/>
        <v>1.1604885260400804E-2</v>
      </c>
      <c r="Z48" s="357">
        <f t="shared" si="79"/>
        <v>151.59913043478264</v>
      </c>
      <c r="AA48" s="357">
        <f t="shared" si="80"/>
        <v>148.72024030014882</v>
      </c>
      <c r="AB48" s="357">
        <f t="shared" si="81"/>
        <v>150.39944353221347</v>
      </c>
      <c r="AC48" s="357">
        <f t="shared" si="82"/>
        <v>150.39944353221347</v>
      </c>
      <c r="AD48" s="356">
        <f t="shared" si="83"/>
        <v>7.7300754175914532E-2</v>
      </c>
      <c r="AK48" s="356">
        <f t="shared" si="84"/>
        <v>5.4768751380597669E-2</v>
      </c>
      <c r="AR48" s="356">
        <f t="shared" si="85"/>
        <v>-3.4670569329660145E-2</v>
      </c>
      <c r="AS48" s="356">
        <f t="shared" si="86"/>
        <v>-2.29960460406772E-2</v>
      </c>
      <c r="AT48" s="356">
        <f t="shared" si="87"/>
        <v>-1.1604885260400804E-2</v>
      </c>
      <c r="AX48" s="356">
        <f t="shared" si="88"/>
        <v>1.0101010101010166E-2</v>
      </c>
      <c r="AY48" s="357">
        <f t="shared" si="89"/>
        <v>132.25</v>
      </c>
      <c r="AZ48" s="356">
        <f t="shared" si="90"/>
        <v>1.893939393939394E-3</v>
      </c>
      <c r="BA48" s="357">
        <f t="shared" si="91"/>
        <v>151.51304347826087</v>
      </c>
      <c r="BB48" s="356">
        <f t="shared" si="92"/>
        <v>1.893939393939394E-3</v>
      </c>
    </row>
    <row r="49" spans="1:55" x14ac:dyDescent="0.3">
      <c r="A49" s="352" t="s">
        <v>158</v>
      </c>
      <c r="B49" s="357">
        <v>100</v>
      </c>
      <c r="C49" s="357">
        <v>101</v>
      </c>
      <c r="D49" s="357">
        <v>102</v>
      </c>
      <c r="E49" s="357">
        <v>117</v>
      </c>
      <c r="F49" s="357">
        <v>135</v>
      </c>
      <c r="G49" s="352">
        <v>0</v>
      </c>
      <c r="H49" s="356">
        <v>0</v>
      </c>
      <c r="I49" s="352">
        <f t="shared" si="62"/>
        <v>1.078529411764706</v>
      </c>
      <c r="J49" s="357">
        <f t="shared" si="63"/>
        <v>100</v>
      </c>
      <c r="K49" s="357">
        <f t="shared" si="64"/>
        <v>101</v>
      </c>
      <c r="L49" s="357">
        <f t="shared" si="65"/>
        <v>102</v>
      </c>
      <c r="M49" s="357">
        <f t="shared" si="66"/>
        <v>117</v>
      </c>
      <c r="N49" s="357">
        <f t="shared" si="67"/>
        <v>135</v>
      </c>
      <c r="O49" s="352" t="str">
        <f t="shared" si="68"/>
        <v/>
      </c>
      <c r="P49" s="352" t="str">
        <f t="shared" si="69"/>
        <v/>
      </c>
      <c r="Q49" s="356">
        <f t="shared" si="70"/>
        <v>0.15384615384615374</v>
      </c>
      <c r="R49" s="356">
        <f t="shared" si="71"/>
        <v>0.14705882352941169</v>
      </c>
      <c r="S49" s="352" t="str">
        <f t="shared" si="72"/>
        <v/>
      </c>
      <c r="T49" s="357">
        <f t="shared" si="73"/>
        <v>129.39164239953408</v>
      </c>
      <c r="U49" s="356">
        <f t="shared" si="74"/>
        <v>4.1543389633080907E-2</v>
      </c>
      <c r="V49" s="357">
        <f t="shared" si="75"/>
        <v>130.92997897739886</v>
      </c>
      <c r="W49" s="356">
        <f t="shared" si="76"/>
        <v>3.0148303871119549E-2</v>
      </c>
      <c r="X49" s="357">
        <f t="shared" si="77"/>
        <v>132.73716653946408</v>
      </c>
      <c r="Y49" s="356">
        <f t="shared" si="78"/>
        <v>1.6761729337303081E-2</v>
      </c>
      <c r="Z49" s="357">
        <f t="shared" si="79"/>
        <v>155.49434389140274</v>
      </c>
      <c r="AA49" s="357">
        <f t="shared" si="80"/>
        <v>152.69391114197629</v>
      </c>
      <c r="AB49" s="357">
        <f t="shared" si="81"/>
        <v>153.81761270340013</v>
      </c>
      <c r="AC49" s="357">
        <f t="shared" si="82"/>
        <v>153.81761270340013</v>
      </c>
      <c r="AD49" s="356">
        <f t="shared" si="83"/>
        <v>7.7912335889252615E-2</v>
      </c>
      <c r="AK49" s="356">
        <f t="shared" si="84"/>
        <v>5.3728243029631084E-2</v>
      </c>
      <c r="AR49" s="356">
        <f t="shared" si="85"/>
        <v>-4.1543389633080907E-2</v>
      </c>
      <c r="AS49" s="356">
        <f t="shared" si="86"/>
        <v>-3.0148303871119549E-2</v>
      </c>
      <c r="AT49" s="356">
        <f t="shared" si="87"/>
        <v>-1.6761729337303081E-2</v>
      </c>
      <c r="AX49" s="356">
        <f t="shared" si="88"/>
        <v>9.9009900990099098E-3</v>
      </c>
      <c r="AY49" s="357">
        <f t="shared" si="89"/>
        <v>134.20588235294116</v>
      </c>
      <c r="AZ49" s="356">
        <f t="shared" si="90"/>
        <v>5.8823529411765945E-3</v>
      </c>
      <c r="BA49" s="357">
        <f t="shared" si="91"/>
        <v>155.76923076923075</v>
      </c>
      <c r="BB49" s="356">
        <f t="shared" si="92"/>
        <v>-5.8823529411765945E-3</v>
      </c>
    </row>
    <row r="50" spans="1:55" x14ac:dyDescent="0.3">
      <c r="A50" s="358" t="s">
        <v>29</v>
      </c>
      <c r="B50" s="359"/>
      <c r="C50" s="359"/>
      <c r="D50" s="359"/>
      <c r="E50" s="359"/>
      <c r="F50" s="359"/>
      <c r="H50" s="360"/>
      <c r="J50" s="359"/>
      <c r="K50" s="359"/>
      <c r="L50" s="359"/>
      <c r="M50" s="359"/>
      <c r="N50" s="359"/>
      <c r="Q50" s="361">
        <f>AVERAGE(Q38:Q49)</f>
        <v>0.14974639973721154</v>
      </c>
      <c r="R50" s="361">
        <f>AVERAGE(R38:R49)</f>
        <v>0.14925792832667689</v>
      </c>
      <c r="T50" s="357" t="s">
        <v>547</v>
      </c>
      <c r="U50" s="361">
        <f>AVERAGE(U38:U49)</f>
        <v>3.6783084681154148E-2</v>
      </c>
      <c r="V50" s="357" t="s">
        <v>547</v>
      </c>
      <c r="W50" s="361">
        <f>AVERAGE(W38:W49)</f>
        <v>2.5170660549080622E-2</v>
      </c>
      <c r="X50" s="357" t="s">
        <v>547</v>
      </c>
      <c r="Y50" s="361">
        <f>AVERAGE(Y38:Y49)</f>
        <v>1.3250529765129545E-2</v>
      </c>
      <c r="Z50" s="362">
        <f>SUM(Z38:Z49)</f>
        <v>1862.3695703194217</v>
      </c>
      <c r="AA50" s="362">
        <f>SUM(AA38:AA49)</f>
        <v>1827.4728307127309</v>
      </c>
      <c r="AB50" s="362">
        <f>SUM(AB38:AB49)</f>
        <v>1845.8113524408016</v>
      </c>
      <c r="AC50" s="362">
        <f>SUM(AC38:AC49)</f>
        <v>1845.8113524408016</v>
      </c>
      <c r="AR50" s="361">
        <f>AVERAGE(AR38:AR49)</f>
        <v>-3.6783084681154148E-2</v>
      </c>
      <c r="AS50" s="361">
        <f>AVERAGE(AS38:AS49)</f>
        <v>-2.5170660549080622E-2</v>
      </c>
      <c r="AT50" s="361">
        <f>AVERAGE(AT38:AT49)</f>
        <v>-1.3250529765129545E-2</v>
      </c>
      <c r="AU50" s="361">
        <f>SQRT(SUMSQ(U38:U49)/12)</f>
        <v>3.6931350873344829E-2</v>
      </c>
      <c r="AV50" s="361">
        <f>SQRT(SUMSQ(W38:W49)/12)</f>
        <v>2.5412516030007569E-2</v>
      </c>
      <c r="AW50" s="361">
        <f>SQRT(SUMSQ(Y38:Y49)/12)</f>
        <v>1.3441785866594875E-2</v>
      </c>
      <c r="AX50" s="361">
        <f>AVERAGE(AX38:AX49)</f>
        <v>9.8886547644349756E-3</v>
      </c>
      <c r="AY50" s="357" t="s">
        <v>547</v>
      </c>
      <c r="AZ50" s="361">
        <f>AVERAGE(AZ38:AZ49)</f>
        <v>3.5427689240948167E-3</v>
      </c>
      <c r="BA50" s="362">
        <f>SUM(BA38:BA49)</f>
        <v>1862.6073439140314</v>
      </c>
      <c r="BB50" s="361">
        <f>AVERAGE(BB38:BB49)</f>
        <v>-4.1687318517612937E-4</v>
      </c>
      <c r="BC50" s="361">
        <f>SQRT(SUMSQ(AZ38:AZ49)/12)</f>
        <v>3.9623607544422308E-3</v>
      </c>
    </row>
    <row r="52" spans="1:55" x14ac:dyDescent="0.3">
      <c r="A52" s="355" t="s">
        <v>550</v>
      </c>
      <c r="AE52" s="352" t="s">
        <v>537</v>
      </c>
      <c r="AF52" s="356">
        <f>AVERAGE(AD53:AD64)</f>
        <v>5.8746480014792955E-2</v>
      </c>
      <c r="AL52" s="352" t="s">
        <v>537</v>
      </c>
      <c r="AM52" s="356">
        <f>AVERAGE(AK53:AK64)</f>
        <v>4.9373312302158932E-2</v>
      </c>
    </row>
    <row r="53" spans="1:55" x14ac:dyDescent="0.3">
      <c r="A53" s="352" t="s">
        <v>147</v>
      </c>
      <c r="B53" s="357">
        <v>97</v>
      </c>
      <c r="C53" s="357">
        <v>102</v>
      </c>
      <c r="D53" s="357">
        <v>107</v>
      </c>
      <c r="E53" s="357">
        <v>112</v>
      </c>
      <c r="F53" s="357">
        <v>118</v>
      </c>
      <c r="G53" s="352">
        <v>0</v>
      </c>
      <c r="H53" s="356">
        <v>0</v>
      </c>
      <c r="I53" s="352">
        <f t="shared" ref="I53:I64" si="93">MEDIAN(C53/B53,D53/C53,E53/D53,F53/E53)</f>
        <v>1.0502829997978573</v>
      </c>
      <c r="J53" s="357">
        <f t="shared" ref="J53:J64" si="94">B53</f>
        <v>97</v>
      </c>
      <c r="K53" s="357">
        <f t="shared" ref="K53:K64" si="95">IF(ABS(C53-J53*I53)/(J53*I53)&gt;$B$3,J53*I53,C53)</f>
        <v>102</v>
      </c>
      <c r="L53" s="357">
        <f t="shared" ref="L53:L64" si="96">IF(ABS(D53-K53*I53)/(K53*I53)&gt;$B$3,K53*I53,D53)</f>
        <v>107</v>
      </c>
      <c r="M53" s="357">
        <f t="shared" ref="M53:M64" si="97">IF(ABS(E53-L53*I53)/(L53*I53)&gt;$B$3,L53*I53,E53)</f>
        <v>112</v>
      </c>
      <c r="N53" s="357">
        <f t="shared" ref="N53:N64" si="98">IF(ABS(F53-M53*I53)/(M53*I53)&gt;$B$3,M53*I53,F53)</f>
        <v>118</v>
      </c>
      <c r="O53" s="352" t="str">
        <f t="shared" ref="O53:O64" si="99">TRIM(IF(K53&lt;&gt;C53,"⚠Y-4 ","")&amp;IF(L53&lt;&gt;D53,"⚠Y-3 ","")&amp;IF(M53&lt;&gt;E53,"⚠Y-2 ","")&amp;IF(N53&lt;&gt;F53,"⚠Y-1 ",""))</f>
        <v/>
      </c>
      <c r="P53" s="352" t="str">
        <f t="shared" ref="P53:P64" si="100">IF(SIGN((F53/E53-1))&lt;&gt;SIGN((E53/D53-1)),"⚠ retournement (brut)",IF(ABS((F53/E53-1)-(E53/D53-1))&gt;$D$3,"⚡ accélération (brut)",""))</f>
        <v/>
      </c>
      <c r="Q53" s="356">
        <f t="shared" ref="Q53:Q64" si="101">N53/M53-1</f>
        <v>5.3571428571428603E-2</v>
      </c>
      <c r="R53" s="356">
        <f t="shared" ref="R53:R64" si="102">M53/L53-1</f>
        <v>4.6728971962616717E-2</v>
      </c>
      <c r="S53" s="352" t="str">
        <f t="shared" ref="S53:S64" si="103">IF(SIGN(Q53)&lt;&gt;SIGN(R53),"⚠ retournement",IF(ABS(Q53-R53)&gt;$D$3,"⚡ accélération",""))</f>
        <v/>
      </c>
      <c r="T53" s="357">
        <f t="shared" ref="T53:T64" si="104">M53*($F$3*M53/L53+(1-$F$3)*L53/K53)</f>
        <v>117.31061022539856</v>
      </c>
      <c r="U53" s="356">
        <f t="shared" ref="U53:U64" si="105">ABS(T53-N53)/N53</f>
        <v>5.8422862254359107E-3</v>
      </c>
      <c r="V53" s="357">
        <f t="shared" ref="V53:V64" si="106">M53*($F$3*M53/L53+(1-$F$3)*(M53/J53)^(1/3))</f>
        <v>117.31319309830135</v>
      </c>
      <c r="W53" s="356">
        <f t="shared" ref="W53:W64" si="107">ABS(V53-N53)/N53</f>
        <v>5.8203974720224183E-3</v>
      </c>
      <c r="X53" s="357">
        <f t="shared" ref="X53:X64" si="108">M53*(1+$AM$60)</f>
        <v>117.52981097784181</v>
      </c>
      <c r="Y53" s="356">
        <f t="shared" ref="Y53:Y64" si="109">ABS(X53-N53)/N53</f>
        <v>3.9846527301541932E-3</v>
      </c>
      <c r="Z53" s="357">
        <f t="shared" ref="Z53:Z64" si="110">N53*($F$3*N53/M53+(1-$F$3)*M53/L53)*(1+G53*H53)</f>
        <v>124.07920560747664</v>
      </c>
      <c r="AA53" s="357">
        <f t="shared" ref="AA53:AA64" si="111">N53*($F$3*N53/M53+(1-$F$3)*(N53/J53)^(1/4))*(1+G53*H53)</f>
        <v>124.2025554707153</v>
      </c>
      <c r="AB53" s="357">
        <f t="shared" ref="AB53:AB64" si="112">N53*(1+$AF$60)*(1+G53*H53)</f>
        <v>124.93208464174558</v>
      </c>
      <c r="AC53" s="357">
        <f t="shared" ref="AC53:AC64" si="113">IF(ISNUMBER(SEARCH("H1",$AF$59)),Z53,AB53)</f>
        <v>124.93208464174558</v>
      </c>
      <c r="AD53" s="356">
        <f t="shared" ref="AD53:AD64" si="114">(N53/J53)^0.25-1</f>
        <v>5.0213431376138429E-2</v>
      </c>
      <c r="AE53" s="352" t="s">
        <v>538</v>
      </c>
      <c r="AF53" s="356">
        <f>AVERAGE(Q53:Q55)</f>
        <v>5.2495019600282765E-2</v>
      </c>
      <c r="AG53" s="352" t="s">
        <v>539</v>
      </c>
      <c r="AH53" s="356">
        <f>(SUM(Q53:Q64)-SUM(Q53:Q55))/9</f>
        <v>0.10079084104050041</v>
      </c>
      <c r="AI53" s="352" t="s">
        <v>204</v>
      </c>
      <c r="AJ53" s="356">
        <f>ABS(AF53-AH53)</f>
        <v>4.829582144021765E-2</v>
      </c>
      <c r="AK53" s="356">
        <f t="shared" ref="AK53:AK64" si="115">(M53/J53)^(1/3)-1</f>
        <v>4.9096479060481757E-2</v>
      </c>
      <c r="AL53" s="352" t="s">
        <v>538</v>
      </c>
      <c r="AM53" s="356">
        <f>AVERAGE(R53:R55)</f>
        <v>4.8884861883232711E-2</v>
      </c>
      <c r="AN53" s="352" t="s">
        <v>539</v>
      </c>
      <c r="AO53" s="356">
        <f>(SUM(R53:R64)-SUM(R53:R55))/9</f>
        <v>5.1212163113569256E-2</v>
      </c>
      <c r="AP53" s="352" t="s">
        <v>204</v>
      </c>
      <c r="AQ53" s="356">
        <f>ABS(AM53-AO53)</f>
        <v>2.3273012303365453E-3</v>
      </c>
      <c r="AR53" s="356">
        <f t="shared" ref="AR53:AR64" si="116">(T53-N53)/N53</f>
        <v>-5.8422862254359107E-3</v>
      </c>
      <c r="AS53" s="356">
        <f t="shared" ref="AS53:AS64" si="117">(V53-N53)/N53</f>
        <v>-5.8203974720224183E-3</v>
      </c>
      <c r="AT53" s="356">
        <f t="shared" ref="AT53:AT64" si="118">(X53-N53)/N53</f>
        <v>-3.9846527301541932E-3</v>
      </c>
      <c r="AX53" s="356">
        <f t="shared" ref="AX53:AX64" si="119">L53/K53-1</f>
        <v>4.9019607843137303E-2</v>
      </c>
      <c r="AY53" s="357">
        <f t="shared" ref="AY53:AY64" si="120">IF(OR(ABS(R53-AX53)&lt;$P$3,ABS(R53-$R$65)&lt;$P$3),M53*(1+R53),M53*(1+R53*$R$65/$AX$65))</f>
        <v>117.23364485981307</v>
      </c>
      <c r="AZ53" s="356">
        <f t="shared" ref="AZ53:AZ64" si="121">ABS(AY53-N53)/N53</f>
        <v>6.4945350863299259E-3</v>
      </c>
      <c r="BA53" s="357">
        <f t="shared" ref="BA53:BA64" si="122">IF(OR(ABS(Q53-R53)&lt;$P$3,ABS(Q53-$Q$65)&lt;$P$3),N53*(1+Q53)*(1+G53*H53),N53*(1+Q53*$R$65/$Q$65)*(1+G53*H53))</f>
        <v>124.32142857142857</v>
      </c>
      <c r="BB53" s="356">
        <f t="shared" ref="BB53:BB64" si="123">(AY53-N53)/N53</f>
        <v>-6.4945350863299259E-3</v>
      </c>
    </row>
    <row r="54" spans="1:55" x14ac:dyDescent="0.3">
      <c r="A54" s="352" t="s">
        <v>148</v>
      </c>
      <c r="B54" s="357">
        <v>99</v>
      </c>
      <c r="C54" s="357">
        <v>104</v>
      </c>
      <c r="D54" s="357">
        <v>109</v>
      </c>
      <c r="E54" s="357">
        <v>114</v>
      </c>
      <c r="F54" s="357">
        <v>120</v>
      </c>
      <c r="G54" s="352">
        <v>0</v>
      </c>
      <c r="H54" s="356">
        <v>0</v>
      </c>
      <c r="I54" s="352">
        <f t="shared" si="93"/>
        <v>1.0492909867909868</v>
      </c>
      <c r="J54" s="357">
        <f t="shared" si="94"/>
        <v>99</v>
      </c>
      <c r="K54" s="357">
        <f t="shared" si="95"/>
        <v>104</v>
      </c>
      <c r="L54" s="357">
        <f t="shared" si="96"/>
        <v>109</v>
      </c>
      <c r="M54" s="357">
        <f t="shared" si="97"/>
        <v>114</v>
      </c>
      <c r="N54" s="357">
        <f t="shared" si="98"/>
        <v>120</v>
      </c>
      <c r="O54" s="352" t="str">
        <f t="shared" si="99"/>
        <v/>
      </c>
      <c r="P54" s="352" t="str">
        <f t="shared" si="100"/>
        <v/>
      </c>
      <c r="Q54" s="356">
        <f t="shared" si="101"/>
        <v>5.2631578947368363E-2</v>
      </c>
      <c r="R54" s="356">
        <f t="shared" si="102"/>
        <v>4.587155963302747E-2</v>
      </c>
      <c r="S54" s="352" t="str">
        <f t="shared" si="103"/>
        <v/>
      </c>
      <c r="T54" s="357">
        <f t="shared" si="104"/>
        <v>119.30478122794638</v>
      </c>
      <c r="U54" s="356">
        <f t="shared" si="105"/>
        <v>5.7934897671135131E-3</v>
      </c>
      <c r="V54" s="357">
        <f t="shared" si="106"/>
        <v>119.30726231999571</v>
      </c>
      <c r="W54" s="356">
        <f t="shared" si="107"/>
        <v>5.7728140000357087E-3</v>
      </c>
      <c r="X54" s="357">
        <f t="shared" si="108"/>
        <v>119.62855760244612</v>
      </c>
      <c r="Y54" s="356">
        <f t="shared" si="109"/>
        <v>3.0953533129489822E-3</v>
      </c>
      <c r="Z54" s="357">
        <f t="shared" si="110"/>
        <v>126.07242877836794</v>
      </c>
      <c r="AA54" s="357">
        <f t="shared" si="111"/>
        <v>126.19470799618144</v>
      </c>
      <c r="AB54" s="357">
        <f t="shared" si="112"/>
        <v>127.04957760177516</v>
      </c>
      <c r="AC54" s="357">
        <f t="shared" si="113"/>
        <v>127.04957760177516</v>
      </c>
      <c r="AD54" s="356">
        <f t="shared" si="114"/>
        <v>4.9268204572291641E-2</v>
      </c>
      <c r="AE54" s="352" t="s">
        <v>540</v>
      </c>
      <c r="AF54" s="356">
        <f>AVERAGE(Q56:Q58)</f>
        <v>5.1747217043668282E-2</v>
      </c>
      <c r="AG54" s="352" t="s">
        <v>539</v>
      </c>
      <c r="AH54" s="356">
        <f>(SUM(Q53:Q64)-SUM(Q56:Q58))/9</f>
        <v>0.1010401085593719</v>
      </c>
      <c r="AI54" s="352" t="s">
        <v>204</v>
      </c>
      <c r="AJ54" s="356">
        <f>ABS(AF54-AH54)</f>
        <v>4.9292891515703617E-2</v>
      </c>
      <c r="AK54" s="356">
        <f t="shared" si="115"/>
        <v>4.8149469628073316E-2</v>
      </c>
      <c r="AL54" s="352" t="s">
        <v>540</v>
      </c>
      <c r="AM54" s="356">
        <f>AVERAGE(R56:R58)</f>
        <v>5.1313031991498059E-2</v>
      </c>
      <c r="AN54" s="352" t="s">
        <v>539</v>
      </c>
      <c r="AO54" s="356">
        <f>(SUM(R53:R64)-SUM(R56:R58))/9</f>
        <v>5.0402773077480804E-2</v>
      </c>
      <c r="AP54" s="352" t="s">
        <v>204</v>
      </c>
      <c r="AQ54" s="356">
        <f>ABS(AM54-AO54)</f>
        <v>9.1025891401725484E-4</v>
      </c>
      <c r="AR54" s="356">
        <f t="shared" si="116"/>
        <v>-5.7934897671135131E-3</v>
      </c>
      <c r="AS54" s="356">
        <f t="shared" si="117"/>
        <v>-5.7728140000357087E-3</v>
      </c>
      <c r="AT54" s="356">
        <f t="shared" si="118"/>
        <v>-3.0953533129489822E-3</v>
      </c>
      <c r="AX54" s="356">
        <f t="shared" si="119"/>
        <v>4.8076923076923128E-2</v>
      </c>
      <c r="AY54" s="357">
        <f t="shared" si="120"/>
        <v>119.22935779816513</v>
      </c>
      <c r="AZ54" s="356">
        <f t="shared" si="121"/>
        <v>6.422018348623955E-3</v>
      </c>
      <c r="BA54" s="357">
        <f t="shared" si="122"/>
        <v>126.31578947368421</v>
      </c>
      <c r="BB54" s="356">
        <f t="shared" si="123"/>
        <v>-6.422018348623955E-3</v>
      </c>
    </row>
    <row r="55" spans="1:55" x14ac:dyDescent="0.3">
      <c r="A55" s="352" t="s">
        <v>149</v>
      </c>
      <c r="B55" s="357">
        <v>101</v>
      </c>
      <c r="C55" s="357">
        <v>106</v>
      </c>
      <c r="D55" s="357">
        <v>111</v>
      </c>
      <c r="E55" s="357">
        <v>117</v>
      </c>
      <c r="F55" s="357">
        <v>123</v>
      </c>
      <c r="G55" s="352">
        <v>0</v>
      </c>
      <c r="H55" s="356">
        <v>0</v>
      </c>
      <c r="I55" s="352">
        <f t="shared" si="93"/>
        <v>1.0503935008885503</v>
      </c>
      <c r="J55" s="357">
        <f t="shared" si="94"/>
        <v>101</v>
      </c>
      <c r="K55" s="357">
        <f t="shared" si="95"/>
        <v>106</v>
      </c>
      <c r="L55" s="357">
        <f t="shared" si="96"/>
        <v>111</v>
      </c>
      <c r="M55" s="357">
        <f t="shared" si="97"/>
        <v>117</v>
      </c>
      <c r="N55" s="357">
        <f t="shared" si="98"/>
        <v>123</v>
      </c>
      <c r="O55" s="352" t="str">
        <f t="shared" si="99"/>
        <v/>
      </c>
      <c r="P55" s="352" t="str">
        <f t="shared" si="100"/>
        <v/>
      </c>
      <c r="Q55" s="356">
        <f t="shared" si="101"/>
        <v>5.1282051282051322E-2</v>
      </c>
      <c r="R55" s="356">
        <f t="shared" si="102"/>
        <v>5.4054054054053946E-2</v>
      </c>
      <c r="S55" s="352" t="str">
        <f t="shared" si="103"/>
        <v/>
      </c>
      <c r="T55" s="357">
        <f t="shared" si="104"/>
        <v>123.08268740438552</v>
      </c>
      <c r="U55" s="356">
        <f t="shared" si="105"/>
        <v>6.7225532020751325E-4</v>
      </c>
      <c r="V55" s="357">
        <f t="shared" si="106"/>
        <v>123.19041772115835</v>
      </c>
      <c r="W55" s="356">
        <f t="shared" si="107"/>
        <v>1.5481115541329628E-3</v>
      </c>
      <c r="X55" s="357">
        <f t="shared" si="108"/>
        <v>122.77667753935259</v>
      </c>
      <c r="Y55" s="356">
        <f t="shared" si="109"/>
        <v>1.8156297613610534E-3</v>
      </c>
      <c r="Z55" s="357">
        <f t="shared" si="110"/>
        <v>129.40997920997924</v>
      </c>
      <c r="AA55" s="357">
        <f t="shared" si="111"/>
        <v>129.27882369688021</v>
      </c>
      <c r="AB55" s="357">
        <f t="shared" si="112"/>
        <v>130.22581704181954</v>
      </c>
      <c r="AC55" s="357">
        <f t="shared" si="113"/>
        <v>130.22581704181954</v>
      </c>
      <c r="AD55" s="356">
        <f t="shared" si="114"/>
        <v>5.0499704105571697E-2</v>
      </c>
      <c r="AE55" s="352" t="s">
        <v>541</v>
      </c>
      <c r="AF55" s="356">
        <f>AVERAGE(Q59:Q61)</f>
        <v>5.1159678858162382E-2</v>
      </c>
      <c r="AG55" s="352" t="s">
        <v>539</v>
      </c>
      <c r="AH55" s="356">
        <f>(SUM(Q53:Q64)-SUM(Q59:Q61))/9</f>
        <v>0.10123595462120721</v>
      </c>
      <c r="AI55" s="352" t="s">
        <v>204</v>
      </c>
      <c r="AJ55" s="356">
        <f>ABS(AF55-AH55)</f>
        <v>5.0076275763044832E-2</v>
      </c>
      <c r="AK55" s="356">
        <f t="shared" si="115"/>
        <v>5.023905111485294E-2</v>
      </c>
      <c r="AL55" s="352" t="s">
        <v>541</v>
      </c>
      <c r="AM55" s="356">
        <f>AVERAGE(R59:R61)</f>
        <v>5.0691522383941479E-2</v>
      </c>
      <c r="AN55" s="352" t="s">
        <v>539</v>
      </c>
      <c r="AO55" s="356">
        <f>(SUM(R53:R64)-SUM(R59:R61))/9</f>
        <v>5.0609942946666334E-2</v>
      </c>
      <c r="AP55" s="352" t="s">
        <v>204</v>
      </c>
      <c r="AQ55" s="356">
        <f>ABS(AM55-AO55)</f>
        <v>8.1579437275144939E-5</v>
      </c>
      <c r="AR55" s="356">
        <f t="shared" si="116"/>
        <v>6.7225532020751325E-4</v>
      </c>
      <c r="AS55" s="356">
        <f t="shared" si="117"/>
        <v>1.5481115541329628E-3</v>
      </c>
      <c r="AT55" s="356">
        <f t="shared" si="118"/>
        <v>-1.8156297613610534E-3</v>
      </c>
      <c r="AX55" s="356">
        <f t="shared" si="119"/>
        <v>4.7169811320754818E-2</v>
      </c>
      <c r="AY55" s="357">
        <f t="shared" si="120"/>
        <v>123.32432432432431</v>
      </c>
      <c r="AZ55" s="356">
        <f t="shared" si="121"/>
        <v>2.6367831245878745E-3</v>
      </c>
      <c r="BA55" s="357">
        <f t="shared" si="122"/>
        <v>129.30769230769232</v>
      </c>
      <c r="BB55" s="356">
        <f t="shared" si="123"/>
        <v>2.6367831245878745E-3</v>
      </c>
    </row>
    <row r="56" spans="1:55" x14ac:dyDescent="0.3">
      <c r="A56" s="352" t="s">
        <v>150</v>
      </c>
      <c r="B56" s="357">
        <v>103</v>
      </c>
      <c r="C56" s="357">
        <v>108</v>
      </c>
      <c r="D56" s="357">
        <v>113</v>
      </c>
      <c r="E56" s="357">
        <v>119</v>
      </c>
      <c r="F56" s="357">
        <v>125</v>
      </c>
      <c r="G56" s="352">
        <v>0</v>
      </c>
      <c r="H56" s="356">
        <v>0</v>
      </c>
      <c r="I56" s="352">
        <f t="shared" si="93"/>
        <v>1.0494819286938077</v>
      </c>
      <c r="J56" s="357">
        <f t="shared" si="94"/>
        <v>103</v>
      </c>
      <c r="K56" s="357">
        <f t="shared" si="95"/>
        <v>108</v>
      </c>
      <c r="L56" s="357">
        <f t="shared" si="96"/>
        <v>113</v>
      </c>
      <c r="M56" s="357">
        <f t="shared" si="97"/>
        <v>119</v>
      </c>
      <c r="N56" s="357">
        <f t="shared" si="98"/>
        <v>125</v>
      </c>
      <c r="O56" s="352" t="str">
        <f t="shared" si="99"/>
        <v/>
      </c>
      <c r="P56" s="352" t="str">
        <f t="shared" si="100"/>
        <v/>
      </c>
      <c r="Q56" s="356">
        <f t="shared" si="101"/>
        <v>5.0420168067226934E-2</v>
      </c>
      <c r="R56" s="356">
        <f t="shared" si="102"/>
        <v>5.3097345132743445E-2</v>
      </c>
      <c r="S56" s="352" t="str">
        <f t="shared" si="103"/>
        <v/>
      </c>
      <c r="T56" s="357">
        <f t="shared" si="104"/>
        <v>125.07578662733529</v>
      </c>
      <c r="U56" s="356">
        <f t="shared" si="105"/>
        <v>6.0629301868232234E-4</v>
      </c>
      <c r="V56" s="357">
        <f t="shared" si="106"/>
        <v>125.18332701355838</v>
      </c>
      <c r="W56" s="356">
        <f t="shared" si="107"/>
        <v>1.4666161084670648E-3</v>
      </c>
      <c r="X56" s="357">
        <f t="shared" si="108"/>
        <v>124.87542416395691</v>
      </c>
      <c r="Y56" s="356">
        <f t="shared" si="109"/>
        <v>9.9660668834474116E-4</v>
      </c>
      <c r="Z56" s="357">
        <f t="shared" si="110"/>
        <v>131.40291514836022</v>
      </c>
      <c r="AA56" s="357">
        <f t="shared" si="111"/>
        <v>131.27125492084417</v>
      </c>
      <c r="AB56" s="357">
        <f t="shared" si="112"/>
        <v>132.34331000184912</v>
      </c>
      <c r="AC56" s="357">
        <f t="shared" si="113"/>
        <v>132.34331000184912</v>
      </c>
      <c r="AD56" s="356">
        <f t="shared" si="114"/>
        <v>4.9586405732314764E-2</v>
      </c>
      <c r="AE56" s="352" t="s">
        <v>542</v>
      </c>
      <c r="AF56" s="356">
        <f>AVERAGE(Q62:Q64)</f>
        <v>0.19946562721967057</v>
      </c>
      <c r="AG56" s="352" t="s">
        <v>539</v>
      </c>
      <c r="AH56" s="356">
        <f>(SUM(Q53:Q64)-SUM(Q62:Q64))/9</f>
        <v>5.1800638500704474E-2</v>
      </c>
      <c r="AI56" s="352" t="s">
        <v>204</v>
      </c>
      <c r="AJ56" s="356">
        <f>ABS(AF56-AH56)</f>
        <v>0.14766498871896611</v>
      </c>
      <c r="AK56" s="356">
        <f t="shared" si="115"/>
        <v>4.9308632044841705E-2</v>
      </c>
      <c r="AL56" s="352" t="s">
        <v>542</v>
      </c>
      <c r="AM56" s="356">
        <f>AVERAGE(R62:R64)</f>
        <v>5.1631934965268224E-2</v>
      </c>
      <c r="AN56" s="352" t="s">
        <v>539</v>
      </c>
      <c r="AO56" s="356">
        <f>(SUM(R53:R64)-SUM(R62:R64))/9</f>
        <v>5.0296472086224085E-2</v>
      </c>
      <c r="AP56" s="352" t="s">
        <v>204</v>
      </c>
      <c r="AQ56" s="356">
        <f>ABS(AM56-AO56)</f>
        <v>1.3354628790441386E-3</v>
      </c>
      <c r="AR56" s="356">
        <f t="shared" si="116"/>
        <v>6.0629301868232234E-4</v>
      </c>
      <c r="AS56" s="356">
        <f t="shared" si="117"/>
        <v>1.4666161084670648E-3</v>
      </c>
      <c r="AT56" s="356">
        <f t="shared" si="118"/>
        <v>-9.9660668834474116E-4</v>
      </c>
      <c r="AX56" s="356">
        <f t="shared" si="119"/>
        <v>4.629629629629628E-2</v>
      </c>
      <c r="AY56" s="357">
        <f t="shared" si="120"/>
        <v>125.31858407079648</v>
      </c>
      <c r="AZ56" s="356">
        <f t="shared" si="121"/>
        <v>2.5486725663718063E-3</v>
      </c>
      <c r="BA56" s="357">
        <f t="shared" si="122"/>
        <v>131.30252100840337</v>
      </c>
      <c r="BB56" s="356">
        <f t="shared" si="123"/>
        <v>2.5486725663718063E-3</v>
      </c>
    </row>
    <row r="57" spans="1:55" x14ac:dyDescent="0.3">
      <c r="A57" s="352" t="s">
        <v>151</v>
      </c>
      <c r="B57" s="357">
        <v>100</v>
      </c>
      <c r="C57" s="357">
        <v>105</v>
      </c>
      <c r="D57" s="357">
        <v>110</v>
      </c>
      <c r="E57" s="357">
        <v>116</v>
      </c>
      <c r="F57" s="357">
        <v>122</v>
      </c>
      <c r="G57" s="352">
        <v>0</v>
      </c>
      <c r="H57" s="356">
        <v>0</v>
      </c>
      <c r="I57" s="352">
        <f t="shared" si="93"/>
        <v>1.0508620689655173</v>
      </c>
      <c r="J57" s="357">
        <f t="shared" si="94"/>
        <v>100</v>
      </c>
      <c r="K57" s="357">
        <f t="shared" si="95"/>
        <v>105</v>
      </c>
      <c r="L57" s="357">
        <f t="shared" si="96"/>
        <v>110</v>
      </c>
      <c r="M57" s="357">
        <f t="shared" si="97"/>
        <v>116</v>
      </c>
      <c r="N57" s="357">
        <f t="shared" si="98"/>
        <v>122</v>
      </c>
      <c r="O57" s="352" t="str">
        <f t="shared" si="99"/>
        <v/>
      </c>
      <c r="P57" s="352" t="str">
        <f t="shared" si="100"/>
        <v/>
      </c>
      <c r="Q57" s="356">
        <f t="shared" si="101"/>
        <v>5.1724137931034475E-2</v>
      </c>
      <c r="R57" s="356">
        <f t="shared" si="102"/>
        <v>5.4545454545454453E-2</v>
      </c>
      <c r="S57" s="352" t="str">
        <f t="shared" si="103"/>
        <v/>
      </c>
      <c r="T57" s="357">
        <f t="shared" si="104"/>
        <v>122.08623376623375</v>
      </c>
      <c r="U57" s="356">
        <f t="shared" si="105"/>
        <v>7.0683414945694003E-4</v>
      </c>
      <c r="V57" s="357">
        <f t="shared" si="106"/>
        <v>122.19406250164148</v>
      </c>
      <c r="W57" s="356">
        <f t="shared" si="107"/>
        <v>1.5906762429629734E-3</v>
      </c>
      <c r="X57" s="357">
        <f t="shared" si="108"/>
        <v>121.72730422705044</v>
      </c>
      <c r="Y57" s="356">
        <f t="shared" si="109"/>
        <v>2.2352112536849255E-3</v>
      </c>
      <c r="Z57" s="357">
        <f t="shared" si="110"/>
        <v>128.41360501567399</v>
      </c>
      <c r="AA57" s="357">
        <f t="shared" si="111"/>
        <v>128.28271135457956</v>
      </c>
      <c r="AB57" s="357">
        <f t="shared" si="112"/>
        <v>129.16707056180474</v>
      </c>
      <c r="AC57" s="357">
        <f t="shared" si="113"/>
        <v>129.16707056180474</v>
      </c>
      <c r="AD57" s="356">
        <f t="shared" si="114"/>
        <v>5.0969125007355398E-2</v>
      </c>
      <c r="AG57" s="352" t="s">
        <v>543</v>
      </c>
      <c r="AH57" s="356">
        <f>MAX(AJ53:AJ56)</f>
        <v>0.14766498871896611</v>
      </c>
      <c r="AK57" s="356">
        <f t="shared" si="115"/>
        <v>5.0717574498580165E-2</v>
      </c>
      <c r="AN57" s="352" t="s">
        <v>543</v>
      </c>
      <c r="AO57" s="356">
        <f>MAX(AQ53:AQ56)</f>
        <v>2.3273012303365453E-3</v>
      </c>
      <c r="AR57" s="356">
        <f t="shared" si="116"/>
        <v>7.0683414945694003E-4</v>
      </c>
      <c r="AS57" s="356">
        <f t="shared" si="117"/>
        <v>1.5906762429629734E-3</v>
      </c>
      <c r="AT57" s="356">
        <f t="shared" si="118"/>
        <v>-2.2352112536849255E-3</v>
      </c>
      <c r="AX57" s="356">
        <f t="shared" si="119"/>
        <v>4.7619047619047672E-2</v>
      </c>
      <c r="AY57" s="357">
        <f t="shared" si="120"/>
        <v>122.32727272727271</v>
      </c>
      <c r="AZ57" s="356">
        <f t="shared" si="121"/>
        <v>2.6825633383009331E-3</v>
      </c>
      <c r="BA57" s="357">
        <f t="shared" si="122"/>
        <v>128.31034482758619</v>
      </c>
      <c r="BB57" s="356">
        <f t="shared" si="123"/>
        <v>2.6825633383009331E-3</v>
      </c>
    </row>
    <row r="58" spans="1:55" x14ac:dyDescent="0.3">
      <c r="A58" s="352" t="s">
        <v>152</v>
      </c>
      <c r="B58" s="357">
        <v>98</v>
      </c>
      <c r="C58" s="357">
        <v>103</v>
      </c>
      <c r="D58" s="357">
        <v>108</v>
      </c>
      <c r="E58" s="357">
        <v>113</v>
      </c>
      <c r="F58" s="357">
        <v>119</v>
      </c>
      <c r="G58" s="352">
        <v>0</v>
      </c>
      <c r="H58" s="356">
        <v>0</v>
      </c>
      <c r="I58" s="352">
        <f t="shared" si="93"/>
        <v>1.0497820487418268</v>
      </c>
      <c r="J58" s="357">
        <f t="shared" si="94"/>
        <v>98</v>
      </c>
      <c r="K58" s="357">
        <f t="shared" si="95"/>
        <v>103</v>
      </c>
      <c r="L58" s="357">
        <f t="shared" si="96"/>
        <v>108</v>
      </c>
      <c r="M58" s="357">
        <f t="shared" si="97"/>
        <v>113</v>
      </c>
      <c r="N58" s="357">
        <f t="shared" si="98"/>
        <v>119</v>
      </c>
      <c r="O58" s="352" t="str">
        <f t="shared" si="99"/>
        <v/>
      </c>
      <c r="P58" s="352" t="str">
        <f t="shared" si="100"/>
        <v/>
      </c>
      <c r="Q58" s="356">
        <f t="shared" si="101"/>
        <v>5.3097345132743445E-2</v>
      </c>
      <c r="R58" s="356">
        <f t="shared" si="102"/>
        <v>4.629629629629628E-2</v>
      </c>
      <c r="S58" s="352" t="str">
        <f t="shared" si="103"/>
        <v/>
      </c>
      <c r="T58" s="357">
        <f t="shared" si="104"/>
        <v>118.3076681049982</v>
      </c>
      <c r="U58" s="356">
        <f t="shared" si="105"/>
        <v>5.8179150840487401E-3</v>
      </c>
      <c r="V58" s="357">
        <f t="shared" si="106"/>
        <v>118.31019932080879</v>
      </c>
      <c r="W58" s="356">
        <f t="shared" si="107"/>
        <v>5.7966443629513288E-3</v>
      </c>
      <c r="X58" s="357">
        <f t="shared" si="108"/>
        <v>118.57918429014396</v>
      </c>
      <c r="Y58" s="356">
        <f t="shared" si="109"/>
        <v>3.5362664693785162E-3</v>
      </c>
      <c r="Z58" s="357">
        <f t="shared" si="110"/>
        <v>125.07578662733529</v>
      </c>
      <c r="AA58" s="357">
        <f t="shared" si="111"/>
        <v>125.19859527820459</v>
      </c>
      <c r="AB58" s="357">
        <f t="shared" si="112"/>
        <v>125.99083112176037</v>
      </c>
      <c r="AC58" s="357">
        <f t="shared" si="113"/>
        <v>125.99083112176037</v>
      </c>
      <c r="AD58" s="356">
        <f t="shared" si="114"/>
        <v>4.973631452792926E-2</v>
      </c>
      <c r="AE58" s="352" t="s">
        <v>544</v>
      </c>
      <c r="AH58" s="356">
        <f>IF(AJ53=$AH$57,AH53,IF(AJ54=$AH$57,AH54,IF(AJ55=$AH$57,AH55,AH56)))</f>
        <v>5.1800638500704474E-2</v>
      </c>
      <c r="AK58" s="356">
        <f t="shared" si="115"/>
        <v>4.8618356453444145E-2</v>
      </c>
      <c r="AL58" s="352" t="s">
        <v>544</v>
      </c>
      <c r="AO58" s="356">
        <f>IF(AQ53=$AO$57,AO53,IF(AQ54=$AO$57,AO54,IF(AQ55=$AO$57,AO55,AO56)))</f>
        <v>5.1212163113569256E-2</v>
      </c>
      <c r="AR58" s="356">
        <f t="shared" si="116"/>
        <v>-5.8179150840487401E-3</v>
      </c>
      <c r="AS58" s="356">
        <f t="shared" si="117"/>
        <v>-5.7966443629513288E-3</v>
      </c>
      <c r="AT58" s="356">
        <f t="shared" si="118"/>
        <v>-3.5362664693785162E-3</v>
      </c>
      <c r="AX58" s="356">
        <f t="shared" si="119"/>
        <v>4.8543689320388328E-2</v>
      </c>
      <c r="AY58" s="357">
        <f t="shared" si="120"/>
        <v>118.23148148148148</v>
      </c>
      <c r="AZ58" s="356">
        <f t="shared" si="121"/>
        <v>6.4581388110799918E-3</v>
      </c>
      <c r="BA58" s="357">
        <f t="shared" si="122"/>
        <v>125.31858407079648</v>
      </c>
      <c r="BB58" s="356">
        <f t="shared" si="123"/>
        <v>-6.4581388110799918E-3</v>
      </c>
    </row>
    <row r="59" spans="1:55" x14ac:dyDescent="0.3">
      <c r="A59" s="352" t="s">
        <v>153</v>
      </c>
      <c r="B59" s="357">
        <v>102</v>
      </c>
      <c r="C59" s="357">
        <v>107</v>
      </c>
      <c r="D59" s="357">
        <v>112</v>
      </c>
      <c r="E59" s="357">
        <v>118</v>
      </c>
      <c r="F59" s="357">
        <v>124</v>
      </c>
      <c r="G59" s="352">
        <v>0</v>
      </c>
      <c r="H59" s="356">
        <v>0</v>
      </c>
      <c r="I59" s="352">
        <f t="shared" si="93"/>
        <v>1.049933532735128</v>
      </c>
      <c r="J59" s="357">
        <f t="shared" si="94"/>
        <v>102</v>
      </c>
      <c r="K59" s="357">
        <f t="shared" si="95"/>
        <v>107</v>
      </c>
      <c r="L59" s="357">
        <f t="shared" si="96"/>
        <v>112</v>
      </c>
      <c r="M59" s="357">
        <f t="shared" si="97"/>
        <v>118</v>
      </c>
      <c r="N59" s="357">
        <f t="shared" si="98"/>
        <v>124</v>
      </c>
      <c r="O59" s="352" t="str">
        <f t="shared" si="99"/>
        <v/>
      </c>
      <c r="P59" s="352" t="str">
        <f t="shared" si="100"/>
        <v/>
      </c>
      <c r="Q59" s="356">
        <f t="shared" si="101"/>
        <v>5.0847457627118731E-2</v>
      </c>
      <c r="R59" s="356">
        <f t="shared" si="102"/>
        <v>5.3571428571428603E-2</v>
      </c>
      <c r="S59" s="352" t="str">
        <f t="shared" si="103"/>
        <v/>
      </c>
      <c r="T59" s="357">
        <f t="shared" si="104"/>
        <v>124.07920560747664</v>
      </c>
      <c r="U59" s="356">
        <f t="shared" si="105"/>
        <v>6.3875489900514393E-4</v>
      </c>
      <c r="V59" s="357">
        <f t="shared" si="106"/>
        <v>124.18683983421728</v>
      </c>
      <c r="W59" s="356">
        <f t="shared" si="107"/>
        <v>1.5067728565909759E-3</v>
      </c>
      <c r="X59" s="357">
        <f t="shared" si="108"/>
        <v>123.82605085165476</v>
      </c>
      <c r="Y59" s="356">
        <f t="shared" si="109"/>
        <v>1.4028157124616452E-3</v>
      </c>
      <c r="Z59" s="357">
        <f t="shared" si="110"/>
        <v>130.40641646489104</v>
      </c>
      <c r="AA59" s="357">
        <f t="shared" si="111"/>
        <v>130.27500550275963</v>
      </c>
      <c r="AB59" s="357">
        <f t="shared" si="112"/>
        <v>131.28456352183434</v>
      </c>
      <c r="AC59" s="357">
        <f t="shared" si="113"/>
        <v>131.28456352183434</v>
      </c>
      <c r="AD59" s="356">
        <f t="shared" si="114"/>
        <v>5.0038875825960449E-2</v>
      </c>
      <c r="AE59" s="352" t="s">
        <v>545</v>
      </c>
      <c r="AF59" s="352" t="str">
        <f>IF(ABS($AF$52-AH58)&lt;$H$3,IF($AH$57&lt;$J$3,"H1 stable","H3 choc isolé"),"H2 rupture durable")</f>
        <v>H3 choc isolé</v>
      </c>
      <c r="AK59" s="356">
        <f t="shared" si="115"/>
        <v>4.9769486842295763E-2</v>
      </c>
      <c r="AL59" s="352" t="s">
        <v>545</v>
      </c>
      <c r="AM59" s="352" t="str">
        <f>IF(ABS($AM$52-AO58)&lt;$H$3,IF($AO$57&lt;$J$3,"H1 stable","H3 choc isolé"),"H2 rupture durable")</f>
        <v>H1 stable</v>
      </c>
      <c r="AR59" s="356">
        <f t="shared" si="116"/>
        <v>6.3875489900514393E-4</v>
      </c>
      <c r="AS59" s="356">
        <f t="shared" si="117"/>
        <v>1.5067728565909759E-3</v>
      </c>
      <c r="AT59" s="356">
        <f t="shared" si="118"/>
        <v>-1.4028157124616452E-3</v>
      </c>
      <c r="AX59" s="356">
        <f t="shared" si="119"/>
        <v>4.6728971962616717E-2</v>
      </c>
      <c r="AY59" s="357">
        <f t="shared" si="120"/>
        <v>124.32142857142857</v>
      </c>
      <c r="AZ59" s="356">
        <f t="shared" si="121"/>
        <v>2.5921658986174951E-3</v>
      </c>
      <c r="BA59" s="357">
        <f t="shared" si="122"/>
        <v>130.30508474576271</v>
      </c>
      <c r="BB59" s="356">
        <f t="shared" si="123"/>
        <v>2.5921658986174951E-3</v>
      </c>
    </row>
    <row r="60" spans="1:55" x14ac:dyDescent="0.3">
      <c r="A60" s="352" t="s">
        <v>154</v>
      </c>
      <c r="B60" s="357">
        <v>104</v>
      </c>
      <c r="C60" s="357">
        <v>109</v>
      </c>
      <c r="D60" s="357">
        <v>114</v>
      </c>
      <c r="E60" s="357">
        <v>120</v>
      </c>
      <c r="F60" s="357">
        <v>126</v>
      </c>
      <c r="G60" s="352">
        <v>0</v>
      </c>
      <c r="H60" s="356">
        <v>0</v>
      </c>
      <c r="I60" s="352">
        <f t="shared" si="93"/>
        <v>1.0490384615384616</v>
      </c>
      <c r="J60" s="357">
        <f t="shared" si="94"/>
        <v>104</v>
      </c>
      <c r="K60" s="357">
        <f t="shared" si="95"/>
        <v>109</v>
      </c>
      <c r="L60" s="357">
        <f t="shared" si="96"/>
        <v>114</v>
      </c>
      <c r="M60" s="357">
        <f t="shared" si="97"/>
        <v>120</v>
      </c>
      <c r="N60" s="357">
        <f t="shared" si="98"/>
        <v>126</v>
      </c>
      <c r="O60" s="352" t="str">
        <f t="shared" si="99"/>
        <v/>
      </c>
      <c r="P60" s="352" t="str">
        <f t="shared" si="100"/>
        <v/>
      </c>
      <c r="Q60" s="356">
        <f t="shared" si="101"/>
        <v>5.0000000000000044E-2</v>
      </c>
      <c r="R60" s="356">
        <f t="shared" si="102"/>
        <v>5.2631578947368363E-2</v>
      </c>
      <c r="S60" s="352" t="str">
        <f t="shared" si="103"/>
        <v/>
      </c>
      <c r="T60" s="357">
        <f t="shared" si="104"/>
        <v>126.07242877836794</v>
      </c>
      <c r="U60" s="356">
        <f t="shared" si="105"/>
        <v>5.7483157434869701E-4</v>
      </c>
      <c r="V60" s="357">
        <f t="shared" si="106"/>
        <v>126.17987749796086</v>
      </c>
      <c r="W60" s="356">
        <f t="shared" si="107"/>
        <v>1.4275991901655516E-3</v>
      </c>
      <c r="X60" s="357">
        <f t="shared" si="108"/>
        <v>125.92479747625907</v>
      </c>
      <c r="Y60" s="356">
        <f t="shared" si="109"/>
        <v>5.9684542651529415E-4</v>
      </c>
      <c r="Z60" s="357">
        <f t="shared" si="110"/>
        <v>132.39947368421053</v>
      </c>
      <c r="AA60" s="357">
        <f t="shared" si="111"/>
        <v>132.26757016518826</v>
      </c>
      <c r="AB60" s="357">
        <f t="shared" si="112"/>
        <v>133.40205648186392</v>
      </c>
      <c r="AC60" s="357">
        <f t="shared" si="113"/>
        <v>133.40205648186392</v>
      </c>
      <c r="AD60" s="356">
        <f t="shared" si="114"/>
        <v>4.9142067862124161E-2</v>
      </c>
      <c r="AE60" s="352" t="s">
        <v>546</v>
      </c>
      <c r="AF60" s="356">
        <f>IF(ABS($AF$52-AH58)&lt;$H$3,$AF$52,$L$3*AH58+(1-$L$3)*$AF$52)</f>
        <v>5.8746480014792955E-2</v>
      </c>
      <c r="AK60" s="356">
        <f t="shared" si="115"/>
        <v>4.8856246288386806E-2</v>
      </c>
      <c r="AL60" s="352" t="s">
        <v>546</v>
      </c>
      <c r="AM60" s="356">
        <f>IF(ABS($AM$52-AO58)&lt;$H$3,$AM$52,$L$3*AO58+(1-$L$3)*$AM$52)</f>
        <v>4.9373312302158932E-2</v>
      </c>
      <c r="AR60" s="356">
        <f t="shared" si="116"/>
        <v>5.7483157434869701E-4</v>
      </c>
      <c r="AS60" s="356">
        <f t="shared" si="117"/>
        <v>1.4275991901655516E-3</v>
      </c>
      <c r="AT60" s="356">
        <f t="shared" si="118"/>
        <v>-5.9684542651529415E-4</v>
      </c>
      <c r="AX60" s="356">
        <f t="shared" si="119"/>
        <v>4.587155963302747E-2</v>
      </c>
      <c r="AY60" s="357">
        <f t="shared" si="120"/>
        <v>126.31578947368421</v>
      </c>
      <c r="AZ60" s="356">
        <f t="shared" si="121"/>
        <v>2.5062656641603597E-3</v>
      </c>
      <c r="BA60" s="357">
        <f t="shared" si="122"/>
        <v>132.30000000000001</v>
      </c>
      <c r="BB60" s="356">
        <f t="shared" si="123"/>
        <v>2.5062656641603597E-3</v>
      </c>
    </row>
    <row r="61" spans="1:55" x14ac:dyDescent="0.3">
      <c r="A61" s="352" t="s">
        <v>155</v>
      </c>
      <c r="B61" s="357">
        <v>99</v>
      </c>
      <c r="C61" s="357">
        <v>104</v>
      </c>
      <c r="D61" s="357">
        <v>109</v>
      </c>
      <c r="E61" s="357">
        <v>114</v>
      </c>
      <c r="F61" s="357">
        <v>120</v>
      </c>
      <c r="G61" s="352">
        <v>0</v>
      </c>
      <c r="H61" s="356">
        <v>0</v>
      </c>
      <c r="I61" s="352">
        <f t="shared" si="93"/>
        <v>1.0492909867909868</v>
      </c>
      <c r="J61" s="357">
        <f t="shared" si="94"/>
        <v>99</v>
      </c>
      <c r="K61" s="357">
        <f t="shared" si="95"/>
        <v>104</v>
      </c>
      <c r="L61" s="357">
        <f t="shared" si="96"/>
        <v>109</v>
      </c>
      <c r="M61" s="357">
        <f t="shared" si="97"/>
        <v>114</v>
      </c>
      <c r="N61" s="357">
        <f t="shared" si="98"/>
        <v>120</v>
      </c>
      <c r="O61" s="352" t="str">
        <f t="shared" si="99"/>
        <v/>
      </c>
      <c r="P61" s="352" t="str">
        <f t="shared" si="100"/>
        <v/>
      </c>
      <c r="Q61" s="356">
        <f t="shared" si="101"/>
        <v>5.2631578947368363E-2</v>
      </c>
      <c r="R61" s="356">
        <f t="shared" si="102"/>
        <v>4.587155963302747E-2</v>
      </c>
      <c r="S61" s="352" t="str">
        <f t="shared" si="103"/>
        <v/>
      </c>
      <c r="T61" s="357">
        <f t="shared" si="104"/>
        <v>119.30478122794638</v>
      </c>
      <c r="U61" s="356">
        <f t="shared" si="105"/>
        <v>5.7934897671135131E-3</v>
      </c>
      <c r="V61" s="357">
        <f t="shared" si="106"/>
        <v>119.30726231999571</v>
      </c>
      <c r="W61" s="356">
        <f t="shared" si="107"/>
        <v>5.7728140000357087E-3</v>
      </c>
      <c r="X61" s="357">
        <f t="shared" si="108"/>
        <v>119.62855760244612</v>
      </c>
      <c r="Y61" s="356">
        <f t="shared" si="109"/>
        <v>3.0953533129489822E-3</v>
      </c>
      <c r="Z61" s="357">
        <f t="shared" si="110"/>
        <v>126.07242877836794</v>
      </c>
      <c r="AA61" s="357">
        <f t="shared" si="111"/>
        <v>126.19470799618144</v>
      </c>
      <c r="AB61" s="357">
        <f t="shared" si="112"/>
        <v>127.04957760177516</v>
      </c>
      <c r="AC61" s="357">
        <f t="shared" si="113"/>
        <v>127.04957760177516</v>
      </c>
      <c r="AD61" s="356">
        <f t="shared" si="114"/>
        <v>4.9268204572291641E-2</v>
      </c>
      <c r="AK61" s="356">
        <f t="shared" si="115"/>
        <v>4.8149469628073316E-2</v>
      </c>
      <c r="AR61" s="356">
        <f t="shared" si="116"/>
        <v>-5.7934897671135131E-3</v>
      </c>
      <c r="AS61" s="356">
        <f t="shared" si="117"/>
        <v>-5.7728140000357087E-3</v>
      </c>
      <c r="AT61" s="356">
        <f t="shared" si="118"/>
        <v>-3.0953533129489822E-3</v>
      </c>
      <c r="AX61" s="356">
        <f t="shared" si="119"/>
        <v>4.8076923076923128E-2</v>
      </c>
      <c r="AY61" s="357">
        <f t="shared" si="120"/>
        <v>119.22935779816513</v>
      </c>
      <c r="AZ61" s="356">
        <f t="shared" si="121"/>
        <v>6.422018348623955E-3</v>
      </c>
      <c r="BA61" s="357">
        <f t="shared" si="122"/>
        <v>126.31578947368421</v>
      </c>
      <c r="BB61" s="356">
        <f t="shared" si="123"/>
        <v>-6.422018348623955E-3</v>
      </c>
    </row>
    <row r="62" spans="1:55" x14ac:dyDescent="0.3">
      <c r="A62" s="352" t="s">
        <v>156</v>
      </c>
      <c r="B62" s="357">
        <v>101</v>
      </c>
      <c r="C62" s="357">
        <v>106</v>
      </c>
      <c r="D62" s="357">
        <v>111</v>
      </c>
      <c r="E62" s="357">
        <v>117</v>
      </c>
      <c r="F62" s="357">
        <v>140</v>
      </c>
      <c r="G62" s="352">
        <v>0</v>
      </c>
      <c r="H62" s="356">
        <v>0</v>
      </c>
      <c r="I62" s="352">
        <f t="shared" si="93"/>
        <v>1.0517795022745517</v>
      </c>
      <c r="J62" s="357">
        <f t="shared" si="94"/>
        <v>101</v>
      </c>
      <c r="K62" s="357">
        <f t="shared" si="95"/>
        <v>106</v>
      </c>
      <c r="L62" s="357">
        <f t="shared" si="96"/>
        <v>111</v>
      </c>
      <c r="M62" s="357">
        <f t="shared" si="97"/>
        <v>117</v>
      </c>
      <c r="N62" s="357">
        <f t="shared" si="98"/>
        <v>140</v>
      </c>
      <c r="O62" s="352" t="str">
        <f t="shared" si="99"/>
        <v/>
      </c>
      <c r="P62" s="352" t="str">
        <f t="shared" si="100"/>
        <v>⚡ accélération (brut)</v>
      </c>
      <c r="Q62" s="356">
        <f t="shared" si="101"/>
        <v>0.19658119658119655</v>
      </c>
      <c r="R62" s="356">
        <f t="shared" si="102"/>
        <v>5.4054054054053946E-2</v>
      </c>
      <c r="S62" s="352" t="str">
        <f t="shared" si="103"/>
        <v>⚡ accélération</v>
      </c>
      <c r="T62" s="357">
        <f t="shared" si="104"/>
        <v>123.08268740438552</v>
      </c>
      <c r="U62" s="356">
        <f t="shared" si="105"/>
        <v>0.12083794711153197</v>
      </c>
      <c r="V62" s="357">
        <f t="shared" si="106"/>
        <v>123.19041772115835</v>
      </c>
      <c r="W62" s="356">
        <f t="shared" si="107"/>
        <v>0.1200684448488689</v>
      </c>
      <c r="X62" s="357">
        <f t="shared" si="108"/>
        <v>122.77667753935259</v>
      </c>
      <c r="Y62" s="356">
        <f t="shared" si="109"/>
        <v>0.12302373186176721</v>
      </c>
      <c r="Z62" s="357">
        <f t="shared" si="110"/>
        <v>161.53522753522756</v>
      </c>
      <c r="AA62" s="357">
        <f t="shared" si="111"/>
        <v>162.83725812725916</v>
      </c>
      <c r="AB62" s="357">
        <f t="shared" si="112"/>
        <v>148.22450720207101</v>
      </c>
      <c r="AC62" s="357">
        <f t="shared" si="113"/>
        <v>148.22450720207101</v>
      </c>
      <c r="AD62" s="356">
        <f t="shared" si="114"/>
        <v>8.5054782435759257E-2</v>
      </c>
      <c r="AK62" s="356">
        <f t="shared" si="115"/>
        <v>5.023905111485294E-2</v>
      </c>
      <c r="AR62" s="356">
        <f t="shared" si="116"/>
        <v>-0.12083794711153197</v>
      </c>
      <c r="AS62" s="356">
        <f t="shared" si="117"/>
        <v>-0.1200684448488689</v>
      </c>
      <c r="AT62" s="356">
        <f t="shared" si="118"/>
        <v>-0.12302373186176721</v>
      </c>
      <c r="AX62" s="356">
        <f t="shared" si="119"/>
        <v>4.7169811320754818E-2</v>
      </c>
      <c r="AY62" s="357">
        <f t="shared" si="120"/>
        <v>123.32432432432431</v>
      </c>
      <c r="AZ62" s="356">
        <f t="shared" si="121"/>
        <v>0.11911196911196922</v>
      </c>
      <c r="BA62" s="357">
        <f t="shared" si="122"/>
        <v>155.70632381651134</v>
      </c>
      <c r="BB62" s="356">
        <f t="shared" si="123"/>
        <v>-0.11911196911196922</v>
      </c>
    </row>
    <row r="63" spans="1:55" x14ac:dyDescent="0.3">
      <c r="A63" s="352" t="s">
        <v>157</v>
      </c>
      <c r="B63" s="357">
        <v>98</v>
      </c>
      <c r="C63" s="357">
        <v>103</v>
      </c>
      <c r="D63" s="357">
        <v>108</v>
      </c>
      <c r="E63" s="357">
        <v>113</v>
      </c>
      <c r="F63" s="357">
        <v>136</v>
      </c>
      <c r="G63" s="352">
        <v>0</v>
      </c>
      <c r="H63" s="356">
        <v>0</v>
      </c>
      <c r="I63" s="352">
        <f t="shared" si="93"/>
        <v>1.0497820487418268</v>
      </c>
      <c r="J63" s="357">
        <f t="shared" si="94"/>
        <v>98</v>
      </c>
      <c r="K63" s="357">
        <f t="shared" si="95"/>
        <v>103</v>
      </c>
      <c r="L63" s="357">
        <f t="shared" si="96"/>
        <v>108</v>
      </c>
      <c r="M63" s="357">
        <f t="shared" si="97"/>
        <v>113</v>
      </c>
      <c r="N63" s="357">
        <f t="shared" si="98"/>
        <v>136</v>
      </c>
      <c r="O63" s="352" t="str">
        <f t="shared" si="99"/>
        <v/>
      </c>
      <c r="P63" s="352" t="str">
        <f t="shared" si="100"/>
        <v>⚡ accélération (brut)</v>
      </c>
      <c r="Q63" s="356">
        <f t="shared" si="101"/>
        <v>0.20353982300884965</v>
      </c>
      <c r="R63" s="356">
        <f t="shared" si="102"/>
        <v>4.629629629629628E-2</v>
      </c>
      <c r="S63" s="352" t="str">
        <f t="shared" si="103"/>
        <v>⚡ accélération</v>
      </c>
      <c r="T63" s="357">
        <f t="shared" si="104"/>
        <v>118.3076681049982</v>
      </c>
      <c r="U63" s="356">
        <f t="shared" si="105"/>
        <v>0.13009067569854266</v>
      </c>
      <c r="V63" s="357">
        <f t="shared" si="106"/>
        <v>118.31019932080879</v>
      </c>
      <c r="W63" s="356">
        <f t="shared" si="107"/>
        <v>0.13007206381758241</v>
      </c>
      <c r="X63" s="357">
        <f t="shared" si="108"/>
        <v>118.57918429014396</v>
      </c>
      <c r="Y63" s="356">
        <f t="shared" si="109"/>
        <v>0.1280942331607062</v>
      </c>
      <c r="Z63" s="357">
        <f t="shared" si="110"/>
        <v>157.26588003933136</v>
      </c>
      <c r="AA63" s="357">
        <f t="shared" si="111"/>
        <v>158.86012740738468</v>
      </c>
      <c r="AB63" s="357">
        <f t="shared" si="112"/>
        <v>143.98952128201185</v>
      </c>
      <c r="AC63" s="357">
        <f t="shared" si="113"/>
        <v>143.98952128201185</v>
      </c>
      <c r="AD63" s="356">
        <f t="shared" si="114"/>
        <v>8.5370986689759842E-2</v>
      </c>
      <c r="AK63" s="356">
        <f t="shared" si="115"/>
        <v>4.8618356453444145E-2</v>
      </c>
      <c r="AR63" s="356">
        <f t="shared" si="116"/>
        <v>-0.13009067569854266</v>
      </c>
      <c r="AS63" s="356">
        <f t="shared" si="117"/>
        <v>-0.13007206381758241</v>
      </c>
      <c r="AT63" s="356">
        <f t="shared" si="118"/>
        <v>-0.1280942331607062</v>
      </c>
      <c r="AX63" s="356">
        <f t="shared" si="119"/>
        <v>4.8543689320388328E-2</v>
      </c>
      <c r="AY63" s="357">
        <f t="shared" si="120"/>
        <v>118.23148148148148</v>
      </c>
      <c r="AZ63" s="356">
        <f t="shared" si="121"/>
        <v>0.13065087145969501</v>
      </c>
      <c r="BA63" s="357">
        <f t="shared" si="122"/>
        <v>151.79766274136088</v>
      </c>
      <c r="BB63" s="356">
        <f t="shared" si="123"/>
        <v>-0.13065087145969501</v>
      </c>
    </row>
    <row r="64" spans="1:55" x14ac:dyDescent="0.3">
      <c r="A64" s="352" t="s">
        <v>158</v>
      </c>
      <c r="B64" s="357">
        <v>100</v>
      </c>
      <c r="C64" s="357">
        <v>105</v>
      </c>
      <c r="D64" s="357">
        <v>110</v>
      </c>
      <c r="E64" s="357">
        <v>116</v>
      </c>
      <c r="F64" s="357">
        <v>139</v>
      </c>
      <c r="G64" s="352">
        <v>0</v>
      </c>
      <c r="H64" s="356">
        <v>0</v>
      </c>
      <c r="I64" s="352">
        <f t="shared" si="93"/>
        <v>1.0522727272727272</v>
      </c>
      <c r="J64" s="357">
        <f t="shared" si="94"/>
        <v>100</v>
      </c>
      <c r="K64" s="357">
        <f t="shared" si="95"/>
        <v>105</v>
      </c>
      <c r="L64" s="357">
        <f t="shared" si="96"/>
        <v>110</v>
      </c>
      <c r="M64" s="357">
        <f t="shared" si="97"/>
        <v>116</v>
      </c>
      <c r="N64" s="357">
        <f t="shared" si="98"/>
        <v>139</v>
      </c>
      <c r="O64" s="352" t="str">
        <f t="shared" si="99"/>
        <v/>
      </c>
      <c r="P64" s="352" t="str">
        <f t="shared" si="100"/>
        <v>⚡ accélération (brut)</v>
      </c>
      <c r="Q64" s="356">
        <f t="shared" si="101"/>
        <v>0.19827586206896552</v>
      </c>
      <c r="R64" s="356">
        <f t="shared" si="102"/>
        <v>5.4545454545454453E-2</v>
      </c>
      <c r="S64" s="352" t="str">
        <f t="shared" si="103"/>
        <v>⚡ accélération</v>
      </c>
      <c r="T64" s="357">
        <f t="shared" si="104"/>
        <v>122.08623376623375</v>
      </c>
      <c r="U64" s="356">
        <f t="shared" si="105"/>
        <v>0.12168177146594426</v>
      </c>
      <c r="V64" s="357">
        <f t="shared" si="106"/>
        <v>122.19406250164148</v>
      </c>
      <c r="W64" s="356">
        <f t="shared" si="107"/>
        <v>0.12090602516804688</v>
      </c>
      <c r="X64" s="357">
        <f t="shared" si="108"/>
        <v>121.72730422705044</v>
      </c>
      <c r="Y64" s="356">
        <f t="shared" si="109"/>
        <v>0.1242639983665436</v>
      </c>
      <c r="Z64" s="357">
        <f t="shared" si="110"/>
        <v>160.56678683385582</v>
      </c>
      <c r="AA64" s="357">
        <f t="shared" si="111"/>
        <v>161.87050409581013</v>
      </c>
      <c r="AB64" s="357">
        <f t="shared" si="112"/>
        <v>147.16576072205623</v>
      </c>
      <c r="AC64" s="357">
        <f t="shared" si="113"/>
        <v>147.16576072205623</v>
      </c>
      <c r="AD64" s="356">
        <f t="shared" si="114"/>
        <v>8.5809657470018896E-2</v>
      </c>
      <c r="AK64" s="356">
        <f t="shared" si="115"/>
        <v>5.0717574498580165E-2</v>
      </c>
      <c r="AR64" s="356">
        <f t="shared" si="116"/>
        <v>-0.12168177146594426</v>
      </c>
      <c r="AS64" s="356">
        <f t="shared" si="117"/>
        <v>-0.12090602516804688</v>
      </c>
      <c r="AT64" s="356">
        <f t="shared" si="118"/>
        <v>-0.1242639983665436</v>
      </c>
      <c r="AX64" s="356">
        <f t="shared" si="119"/>
        <v>4.7619047619047672E-2</v>
      </c>
      <c r="AY64" s="357">
        <f t="shared" si="120"/>
        <v>122.32727272727271</v>
      </c>
      <c r="AZ64" s="356">
        <f t="shared" si="121"/>
        <v>0.11994767822105962</v>
      </c>
      <c r="BA64" s="357">
        <f t="shared" si="122"/>
        <v>154.72856799433032</v>
      </c>
      <c r="BB64" s="356">
        <f t="shared" si="123"/>
        <v>-0.11994767822105962</v>
      </c>
    </row>
    <row r="65" spans="1:55" x14ac:dyDescent="0.3">
      <c r="A65" s="358" t="s">
        <v>29</v>
      </c>
      <c r="B65" s="359"/>
      <c r="C65" s="359"/>
      <c r="D65" s="359"/>
      <c r="E65" s="359"/>
      <c r="F65" s="359"/>
      <c r="H65" s="360"/>
      <c r="J65" s="359"/>
      <c r="K65" s="359"/>
      <c r="L65" s="359"/>
      <c r="M65" s="359"/>
      <c r="N65" s="359"/>
      <c r="Q65" s="361">
        <f>AVERAGE(Q53:Q64)</f>
        <v>8.8716885680446E-2</v>
      </c>
      <c r="R65" s="361">
        <f>AVERAGE(R53:R64)</f>
        <v>5.0630337805985116E-2</v>
      </c>
      <c r="T65" s="357" t="s">
        <v>547</v>
      </c>
      <c r="U65" s="361">
        <f>AVERAGE(U53:U64)</f>
        <v>3.3254712006785932E-2</v>
      </c>
      <c r="V65" s="357" t="s">
        <v>547</v>
      </c>
      <c r="W65" s="361">
        <f>AVERAGE(W53:W64)</f>
        <v>3.3479081635155242E-2</v>
      </c>
      <c r="X65" s="357" t="s">
        <v>547</v>
      </c>
      <c r="Y65" s="361">
        <f>AVERAGE(Y53:Y64)</f>
        <v>3.3011724838067948E-2</v>
      </c>
      <c r="Z65" s="362">
        <f>SUM(Z53:Z64)</f>
        <v>1632.7001337230774</v>
      </c>
      <c r="AA65" s="362">
        <f>SUM(AA53:AA64)</f>
        <v>1636.7338220119887</v>
      </c>
      <c r="AB65" s="362">
        <f>SUM(AB53:AB64)</f>
        <v>1600.824677782367</v>
      </c>
      <c r="AC65" s="362">
        <f>SUM(AC53:AC64)</f>
        <v>1600.824677782367</v>
      </c>
      <c r="AR65" s="361">
        <f>AVERAGE(AR53:AR64)</f>
        <v>-3.2721550513169162E-2</v>
      </c>
      <c r="AS65" s="361">
        <f>AVERAGE(AS53:AS64)</f>
        <v>-3.2222452309768654E-2</v>
      </c>
      <c r="AT65" s="361">
        <f>AVERAGE(AT53:AT64)</f>
        <v>-3.3011724838067948E-2</v>
      </c>
      <c r="AU65" s="361">
        <f>SQRT(SUMSQ(U53:U64)/12)</f>
        <v>6.2228754029431781E-2</v>
      </c>
      <c r="AV65" s="361">
        <f>SQRT(SUMSQ(W53:W64)/12)</f>
        <v>6.1980477637909683E-2</v>
      </c>
      <c r="AW65" s="361">
        <f>SQRT(SUMSQ(Y53:Y64)/12)</f>
        <v>6.2612344060169509E-2</v>
      </c>
      <c r="AX65" s="361">
        <f>AVERAGE(AX53:AX64)</f>
        <v>4.7561281534108803E-2</v>
      </c>
      <c r="AY65" s="357" t="s">
        <v>547</v>
      </c>
      <c r="AZ65" s="361">
        <f>AVERAGE(AZ53:AZ64)</f>
        <v>3.4039473331618345E-2</v>
      </c>
      <c r="BA65" s="362">
        <f>SUM(BA53:BA64)</f>
        <v>1616.0297890312404</v>
      </c>
      <c r="BB65" s="361">
        <f>AVERAGE(BB53:BB64)</f>
        <v>-3.1878398232945269E-2</v>
      </c>
      <c r="BC65" s="361">
        <f>SQRT(SUMSQ(AZ53:AZ64)/12)</f>
        <v>6.1809366392796938E-2</v>
      </c>
    </row>
  </sheetData>
  <mergeCells count="10">
    <mergeCell ref="P5:S5"/>
    <mergeCell ref="A1:BC1"/>
    <mergeCell ref="AE5:AQ5"/>
    <mergeCell ref="T5:Y5"/>
    <mergeCell ref="I5:O5"/>
    <mergeCell ref="Z5:AB5"/>
    <mergeCell ref="AX5:BC5"/>
    <mergeCell ref="AR5:AW5"/>
    <mergeCell ref="B5:H5"/>
    <mergeCell ref="AC5"/>
  </mergeCells>
  <conditionalFormatting sqref="K8:N19">
    <cfRule type="expression" dxfId="11" priority="1">
      <formula>K8&lt;&gt;C8</formula>
    </cfRule>
  </conditionalFormatting>
  <conditionalFormatting sqref="K23:N34">
    <cfRule type="expression" dxfId="10" priority="7">
      <formula>K23&lt;&gt;C23</formula>
    </cfRule>
  </conditionalFormatting>
  <conditionalFormatting sqref="K38:N49">
    <cfRule type="expression" dxfId="9" priority="13">
      <formula>K38&lt;&gt;C38</formula>
    </cfRule>
  </conditionalFormatting>
  <conditionalFormatting sqref="K53:N64">
    <cfRule type="expression" dxfId="8" priority="19">
      <formula>K53&lt;&gt;C53</formula>
    </cfRule>
  </conditionalFormatting>
  <conditionalFormatting sqref="O8:O19">
    <cfRule type="expression" dxfId="7" priority="5">
      <formula>O8&lt;&gt;""</formula>
    </cfRule>
  </conditionalFormatting>
  <conditionalFormatting sqref="O23:O34">
    <cfRule type="expression" dxfId="6" priority="11">
      <formula>O23&lt;&gt;""</formula>
    </cfRule>
  </conditionalFormatting>
  <conditionalFormatting sqref="O38:O49">
    <cfRule type="expression" dxfId="5" priority="17">
      <formula>O38&lt;&gt;""</formula>
    </cfRule>
  </conditionalFormatting>
  <conditionalFormatting sqref="O53:O64">
    <cfRule type="expression" dxfId="4" priority="23">
      <formula>O53&lt;&gt;""</formula>
    </cfRule>
  </conditionalFormatting>
  <conditionalFormatting sqref="P8:P19">
    <cfRule type="expression" dxfId="3" priority="6">
      <formula>P8&lt;&gt;""</formula>
    </cfRule>
  </conditionalFormatting>
  <conditionalFormatting sqref="P23:P34">
    <cfRule type="expression" dxfId="2" priority="12">
      <formula>P23&lt;&gt;""</formula>
    </cfRule>
  </conditionalFormatting>
  <conditionalFormatting sqref="P38:P49">
    <cfRule type="expression" dxfId="1" priority="18">
      <formula>P38&lt;&gt;""</formula>
    </cfRule>
  </conditionalFormatting>
  <conditionalFormatting sqref="P53:P64">
    <cfRule type="expression" dxfId="0" priority="24">
      <formula>P53&lt;&gt;""</formula>
    </cfRule>
  </conditionalFormatting>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7"/>
  <sheetViews>
    <sheetView workbookViewId="0">
      <pane xSplit="6" ySplit="3" topLeftCell="G4" activePane="bottomRight" state="frozen"/>
      <selection pane="topRight"/>
      <selection pane="bottomLeft"/>
      <selection pane="bottomRight"/>
    </sheetView>
  </sheetViews>
  <sheetFormatPr defaultRowHeight="14.4" x14ac:dyDescent="0.3"/>
  <cols>
    <col min="1" max="1" width="9" customWidth="1"/>
    <col min="2" max="2" width="40" customWidth="1"/>
    <col min="3" max="3" width="19" customWidth="1"/>
    <col min="4" max="6" width="13" customWidth="1"/>
    <col min="7" max="18" width="9" customWidth="1"/>
    <col min="19" max="19" width="11" customWidth="1"/>
    <col min="20" max="20" width="17" customWidth="1"/>
  </cols>
  <sheetData>
    <row r="1" spans="1:20" ht="24" customHeight="1" x14ac:dyDescent="0.3">
      <c r="A1" s="403" t="s">
        <v>551</v>
      </c>
      <c r="B1" s="373"/>
      <c r="C1" s="373"/>
      <c r="D1" s="373"/>
      <c r="E1" s="373"/>
      <c r="F1" s="373"/>
      <c r="G1" s="373"/>
      <c r="H1" s="373"/>
      <c r="I1" s="373"/>
      <c r="J1" s="373"/>
      <c r="K1" s="373"/>
      <c r="L1" s="373"/>
      <c r="M1" s="373"/>
      <c r="N1" s="373"/>
      <c r="O1" s="373"/>
      <c r="P1" s="373"/>
      <c r="Q1" s="373"/>
      <c r="R1" s="373"/>
      <c r="S1" s="373"/>
      <c r="T1" s="374"/>
    </row>
    <row r="2" spans="1:20" ht="16.05" customHeight="1" x14ac:dyDescent="0.3">
      <c r="A2" s="471" t="s">
        <v>552</v>
      </c>
      <c r="B2" s="373"/>
      <c r="C2" s="373"/>
      <c r="D2" s="373"/>
      <c r="E2" s="373"/>
      <c r="F2" s="373"/>
      <c r="G2" s="373"/>
      <c r="H2" s="373"/>
      <c r="I2" s="373"/>
      <c r="J2" s="373"/>
      <c r="K2" s="373"/>
      <c r="L2" s="373"/>
      <c r="M2" s="373"/>
      <c r="N2" s="373"/>
      <c r="O2" s="373"/>
      <c r="P2" s="373"/>
      <c r="Q2" s="373"/>
      <c r="R2" s="373"/>
      <c r="S2" s="373"/>
      <c r="T2" s="374"/>
    </row>
    <row r="3" spans="1:20" x14ac:dyDescent="0.3">
      <c r="A3" s="354" t="s">
        <v>284</v>
      </c>
      <c r="B3" s="354" t="s">
        <v>553</v>
      </c>
      <c r="C3" s="354" t="s">
        <v>554</v>
      </c>
      <c r="D3" s="354" t="s">
        <v>555</v>
      </c>
      <c r="E3" s="354" t="s">
        <v>556</v>
      </c>
      <c r="F3" s="354" t="s">
        <v>557</v>
      </c>
      <c r="G3" s="354" t="s">
        <v>147</v>
      </c>
      <c r="H3" s="354" t="s">
        <v>148</v>
      </c>
      <c r="I3" s="354" t="s">
        <v>149</v>
      </c>
      <c r="J3" s="354" t="s">
        <v>150</v>
      </c>
      <c r="K3" s="354" t="s">
        <v>151</v>
      </c>
      <c r="L3" s="354" t="s">
        <v>152</v>
      </c>
      <c r="M3" s="354" t="s">
        <v>153</v>
      </c>
      <c r="N3" s="354" t="s">
        <v>154</v>
      </c>
      <c r="O3" s="354" t="s">
        <v>155</v>
      </c>
      <c r="P3" s="354" t="s">
        <v>156</v>
      </c>
      <c r="Q3" s="354" t="s">
        <v>157</v>
      </c>
      <c r="R3" s="354" t="s">
        <v>158</v>
      </c>
      <c r="S3" s="354" t="s">
        <v>414</v>
      </c>
      <c r="T3" s="354" t="s">
        <v>558</v>
      </c>
    </row>
    <row r="4" spans="1:20" ht="28.05" customHeight="1" x14ac:dyDescent="0.3">
      <c r="A4" s="352" t="s">
        <v>50</v>
      </c>
      <c r="B4" s="363" t="s">
        <v>559</v>
      </c>
      <c r="C4" s="352" t="str">
        <f>IF(ISNUMBER(SEARCH("H1",'Pipeline 3 méthodes'!$AF$14)),"Simplifiée 3Y","Simplifiée Régime")</f>
        <v>Simplifiée 3Y</v>
      </c>
      <c r="D4" s="356">
        <f>IF(ISNUMBER(SEARCH("H1",'Pipeline 3 méthodes'!$AF$14)),'Pipeline 3 méthodes'!U20,'Pipeline 3 méthodes'!Y20)</f>
        <v>1.865278094337552E-3</v>
      </c>
      <c r="E4" s="364">
        <f>'Pipeline 3 méthodes'!AC20*(1-'Pipeline 3 méthodes'!$N$3*(IF(ISNUMBER(SEARCH("H1",'Pipeline 3 méthodes'!$AF$14)),STDEV('Pipeline 3 méthodes'!AR8:AR19),STDEV('Pipeline 3 méthodes'!AT8:AT19))))</f>
        <v>1149.8263210906409</v>
      </c>
      <c r="F4" s="364">
        <f>'Pipeline 3 méthodes'!AC20*(1+'Pipeline 3 méthodes'!$N$3*(IF(ISNUMBER(SEARCH("H1",'Pipeline 3 méthodes'!$AF$14)),STDEV('Pipeline 3 méthodes'!AR8:AR19),STDEV('Pipeline 3 méthodes'!AT8:AT19))))</f>
        <v>1172.7162330352046</v>
      </c>
      <c r="G4" s="364">
        <f>'Pipeline 3 méthodes'!AC8</f>
        <v>87.063364569388668</v>
      </c>
      <c r="H4" s="364">
        <f>'Pipeline 3 méthodes'!AC9</f>
        <v>97.968042523033333</v>
      </c>
      <c r="I4" s="364">
        <f>'Pipeline 3 méthodes'!AC10</f>
        <v>101.26569767441862</v>
      </c>
      <c r="J4" s="364">
        <f>'Pipeline 3 méthodes'!AC11</f>
        <v>90.061129568106324</v>
      </c>
      <c r="K4" s="364">
        <f>'Pipeline 3 méthodes'!AC12</f>
        <v>88.06260162601626</v>
      </c>
      <c r="L4" s="364">
        <f>'Pipeline 3 méthodes'!AC13</f>
        <v>85.064947648070017</v>
      </c>
      <c r="M4" s="364">
        <f>'Pipeline 3 méthodes'!AC14</f>
        <v>86.064146341463427</v>
      </c>
      <c r="N4" s="364">
        <f>'Pipeline 3 méthodes'!AC15</f>
        <v>93.05904688105386</v>
      </c>
      <c r="O4" s="364">
        <f>'Pipeline 3 méthodes'!AC16</f>
        <v>101.05412913727618</v>
      </c>
      <c r="P4" s="364">
        <f>'Pipeline 3 méthodes'!AC17</f>
        <v>129.49961866442837</v>
      </c>
      <c r="Q4" s="364">
        <f>'Pipeline 3 méthodes'!AC18</f>
        <v>106.05145098039218</v>
      </c>
      <c r="R4" s="364">
        <f>'Pipeline 3 méthodes'!AC19</f>
        <v>96.057101449275365</v>
      </c>
      <c r="S4" s="365">
        <f>'Pipeline 3 méthodes'!AC20</f>
        <v>1161.2712770629228</v>
      </c>
      <c r="T4" s="356">
        <f>'Pipeline 3 méthodes'!AZ20</f>
        <v>1.7109669640051209E-3</v>
      </c>
    </row>
    <row r="5" spans="1:20" ht="28.05" customHeight="1" x14ac:dyDescent="0.3">
      <c r="A5" s="352" t="s">
        <v>58</v>
      </c>
      <c r="B5" s="363" t="s">
        <v>560</v>
      </c>
      <c r="C5" s="352" t="str">
        <f>IF(ISNUMBER(SEARCH("H1",'Pipeline 3 méthodes'!$AF$29)),"Simplifiée 3Y","Simplifiée Régime")</f>
        <v>Simplifiée 3Y</v>
      </c>
      <c r="D5" s="356">
        <f>IF(ISNUMBER(SEARCH("H1",'Pipeline 3 méthodes'!$AF$29)),'Pipeline 3 méthodes'!U35,'Pipeline 3 méthodes'!Y35)</f>
        <v>4.9125110224192024E-3</v>
      </c>
      <c r="E5" s="364">
        <f>'Pipeline 3 méthodes'!AC35*(1-'Pipeline 3 méthodes'!$N$3*(IF(ISNUMBER(SEARCH("H1",'Pipeline 3 méthodes'!$AF$29)),STDEV('Pipeline 3 méthodes'!AR23:AR34),STDEV('Pipeline 3 méthodes'!AT23:AT34))))</f>
        <v>1035.6215256217849</v>
      </c>
      <c r="F5" s="364">
        <f>'Pipeline 3 méthodes'!AC35*(1+'Pipeline 3 méthodes'!$N$3*(IF(ISNUMBER(SEARCH("H1",'Pipeline 3 méthodes'!$AF$29)),STDEV('Pipeline 3 méthodes'!AR23:AR34),STDEV('Pipeline 3 méthodes'!AT23:AT34))))</f>
        <v>1066.5819113808748</v>
      </c>
      <c r="G5" s="364">
        <f>'Pipeline 3 méthodes'!AC23</f>
        <v>64.206802507836997</v>
      </c>
      <c r="H5" s="364">
        <f>'Pipeline 3 méthodes'!AC24</f>
        <v>41.1442471042471</v>
      </c>
      <c r="I5" s="364">
        <f>'Pipeline 3 méthodes'!AC25</f>
        <v>28.050923076923073</v>
      </c>
      <c r="J5" s="364">
        <f>'Pipeline 3 méthodes'!AC26</f>
        <v>23.02769715551014</v>
      </c>
      <c r="K5" s="364">
        <f>'Pipeline 3 méthodes'!AC27</f>
        <v>21.070175438596493</v>
      </c>
      <c r="L5" s="364">
        <f>'Pipeline 3 méthodes'!AC28</f>
        <v>19.892125</v>
      </c>
      <c r="M5" s="364">
        <f>'Pipeline 3 méthodes'!AC29</f>
        <v>18.083749999999998</v>
      </c>
      <c r="N5" s="364">
        <f>'Pipeline 3 méthodes'!AC30</f>
        <v>23.063333333333333</v>
      </c>
      <c r="O5" s="364">
        <f>'Pipeline 3 méthodes'!AC31</f>
        <v>52.900709219858157</v>
      </c>
      <c r="P5" s="364">
        <f>'Pipeline 3 méthodes'!AC32</f>
        <v>128.41360501567399</v>
      </c>
      <c r="Q5" s="364">
        <f>'Pipeline 3 méthodes'!AC33</f>
        <v>306.57763636363632</v>
      </c>
      <c r="R5" s="364">
        <f>'Pipeline 3 méthodes'!AC34</f>
        <v>324.67071428571427</v>
      </c>
      <c r="S5" s="365">
        <f>'Pipeline 3 méthodes'!AC35</f>
        <v>1051.10171850133</v>
      </c>
      <c r="T5" s="356">
        <f>'Pipeline 3 méthodes'!AZ35</f>
        <v>4.484879537933719E-3</v>
      </c>
    </row>
    <row r="6" spans="1:20" ht="28.05" customHeight="1" x14ac:dyDescent="0.3">
      <c r="A6" s="352" t="s">
        <v>292</v>
      </c>
      <c r="B6" s="363" t="s">
        <v>561</v>
      </c>
      <c r="C6" s="352" t="str">
        <f>IF(ISNUMBER(SEARCH("H1",'Pipeline 3 méthodes'!$AF$44)),"Simplifiée 3Y","Simplifiée Régime")</f>
        <v>Simplifiée Régime</v>
      </c>
      <c r="D6" s="356">
        <f>IF(ISNUMBER(SEARCH("H1",'Pipeline 3 méthodes'!$AF$44)),'Pipeline 3 méthodes'!U50,'Pipeline 3 méthodes'!Y50)</f>
        <v>1.3250529765129545E-2</v>
      </c>
      <c r="E6" s="364">
        <f>'Pipeline 3 méthodes'!AC50*(1-'Pipeline 3 méthodes'!$N$3*(IF(ISNUMBER(SEARCH("H1",'Pipeline 3 méthodes'!$AF$44)),STDEV('Pipeline 3 méthodes'!AR38:AR49),STDEV('Pipeline 3 méthodes'!AT38:AT49))))</f>
        <v>1836.2239179164089</v>
      </c>
      <c r="F6" s="364">
        <f>'Pipeline 3 méthodes'!AC50*(1+'Pipeline 3 méthodes'!$N$3*(IF(ISNUMBER(SEARCH("H1",'Pipeline 3 méthodes'!$AF$44)),STDEV('Pipeline 3 méthodes'!AR38:AR49),STDEV('Pipeline 3 méthodes'!AT38:AT49))))</f>
        <v>1855.3987869651944</v>
      </c>
      <c r="G6" s="364">
        <f>'Pipeline 3 méthodes'!AC38</f>
        <v>149.26005380848457</v>
      </c>
      <c r="H6" s="364">
        <f>'Pipeline 3 méthodes'!AC39</f>
        <v>151.53883325594236</v>
      </c>
      <c r="I6" s="364">
        <f>'Pipeline 3 méthodes'!AC40</f>
        <v>154.95700242712903</v>
      </c>
      <c r="J6" s="364">
        <f>'Pipeline 3 méthodes'!AC41</f>
        <v>158.37517159831569</v>
      </c>
      <c r="K6" s="364">
        <f>'Pipeline 3 méthodes'!AC42</f>
        <v>153.81761270340013</v>
      </c>
      <c r="L6" s="364">
        <f>'Pipeline 3 méthodes'!AC43</f>
        <v>150.39944353221347</v>
      </c>
      <c r="M6" s="364">
        <f>'Pipeline 3 méthodes'!AC44</f>
        <v>157.23578187458682</v>
      </c>
      <c r="N6" s="364">
        <f>'Pipeline 3 méthodes'!AC45</f>
        <v>159.51456132204459</v>
      </c>
      <c r="O6" s="364">
        <f>'Pipeline 3 méthodes'!AC46</f>
        <v>151.53883325594236</v>
      </c>
      <c r="P6" s="364">
        <f>'Pipeline 3 méthodes'!AC47</f>
        <v>154.95700242712903</v>
      </c>
      <c r="Q6" s="364">
        <f>'Pipeline 3 méthodes'!AC48</f>
        <v>150.39944353221347</v>
      </c>
      <c r="R6" s="364">
        <f>'Pipeline 3 méthodes'!AC49</f>
        <v>153.81761270340013</v>
      </c>
      <c r="S6" s="365">
        <f>'Pipeline 3 méthodes'!AC50</f>
        <v>1845.8113524408016</v>
      </c>
      <c r="T6" s="356">
        <f>'Pipeline 3 méthodes'!AZ50</f>
        <v>3.5427689240948167E-3</v>
      </c>
    </row>
    <row r="7" spans="1:20" ht="28.05" customHeight="1" x14ac:dyDescent="0.3">
      <c r="A7" s="352" t="s">
        <v>293</v>
      </c>
      <c r="B7" s="363" t="s">
        <v>562</v>
      </c>
      <c r="C7" s="352" t="str">
        <f>IF(ISNUMBER(SEARCH("H1",'Pipeline 3 méthodes'!$AF$59)),"Simplifiée 3Y","Simplifiée Régime")</f>
        <v>Simplifiée Régime</v>
      </c>
      <c r="D7" s="356">
        <f>IF(ISNUMBER(SEARCH("H1",'Pipeline 3 méthodes'!$AF$59)),'Pipeline 3 méthodes'!U65,'Pipeline 3 méthodes'!Y65)</f>
        <v>3.3011724838067948E-2</v>
      </c>
      <c r="E7" s="364">
        <f>'Pipeline 3 méthodes'!AC65*(1-'Pipeline 3 méthodes'!$N$3*(IF(ISNUMBER(SEARCH("H1",'Pipeline 3 méthodes'!$AF$59)),STDEV('Pipeline 3 méthodes'!AR53:AR64),STDEV('Pipeline 3 méthodes'!AT53:AT64))))</f>
        <v>1405.0339586881073</v>
      </c>
      <c r="F7" s="364">
        <f>'Pipeline 3 méthodes'!AC65*(1+'Pipeline 3 méthodes'!$N$3*(IF(ISNUMBER(SEARCH("H1",'Pipeline 3 méthodes'!$AF$59)),STDEV('Pipeline 3 méthodes'!AR53:AR64),STDEV('Pipeline 3 méthodes'!AT53:AT64))))</f>
        <v>1796.6153968766268</v>
      </c>
      <c r="G7" s="364">
        <f>'Pipeline 3 méthodes'!AC53</f>
        <v>124.93208464174558</v>
      </c>
      <c r="H7" s="364">
        <f>'Pipeline 3 méthodes'!AC54</f>
        <v>127.04957760177516</v>
      </c>
      <c r="I7" s="364">
        <f>'Pipeline 3 méthodes'!AC55</f>
        <v>130.22581704181954</v>
      </c>
      <c r="J7" s="364">
        <f>'Pipeline 3 méthodes'!AC56</f>
        <v>132.34331000184912</v>
      </c>
      <c r="K7" s="364">
        <f>'Pipeline 3 méthodes'!AC57</f>
        <v>129.16707056180474</v>
      </c>
      <c r="L7" s="364">
        <f>'Pipeline 3 méthodes'!AC58</f>
        <v>125.99083112176037</v>
      </c>
      <c r="M7" s="364">
        <f>'Pipeline 3 méthodes'!AC59</f>
        <v>131.28456352183434</v>
      </c>
      <c r="N7" s="364">
        <f>'Pipeline 3 méthodes'!AC60</f>
        <v>133.40205648186392</v>
      </c>
      <c r="O7" s="364">
        <f>'Pipeline 3 méthodes'!AC61</f>
        <v>127.04957760177516</v>
      </c>
      <c r="P7" s="364">
        <f>'Pipeline 3 méthodes'!AC62</f>
        <v>148.22450720207101</v>
      </c>
      <c r="Q7" s="364">
        <f>'Pipeline 3 méthodes'!AC63</f>
        <v>143.98952128201185</v>
      </c>
      <c r="R7" s="364">
        <f>'Pipeline 3 méthodes'!AC64</f>
        <v>147.16576072205623</v>
      </c>
      <c r="S7" s="365">
        <f>'Pipeline 3 méthodes'!AC65</f>
        <v>1600.824677782367</v>
      </c>
      <c r="T7" s="356">
        <f>'Pipeline 3 méthodes'!AZ65</f>
        <v>3.4039473331618345E-2</v>
      </c>
    </row>
  </sheetData>
  <mergeCells count="2">
    <mergeCell ref="A1:T1"/>
    <mergeCell ref="A2:T2"/>
  </mergeCells>
  <pageMargins left="0.75" right="0.75" top="1" bottom="1" header="0.5" footer="0.5"/>
  <headerFooter>
    <oddFooter>&amp;C&amp;8 &amp;K888888ThinknSolv © copyright 2026 CONFIDENTIEL</oddFooter>
    <evenFooter>&amp;C&amp;8 &amp;K888888ThinknSolv © copyright 2026 CONFIDENTIEL</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5"/>
  <sheetViews>
    <sheetView workbookViewId="0"/>
  </sheetViews>
  <sheetFormatPr defaultRowHeight="14.4" x14ac:dyDescent="0.3"/>
  <cols>
    <col min="1" max="1" width="10" customWidth="1"/>
    <col min="2" max="2" width="45" customWidth="1"/>
    <col min="3" max="3" width="20" customWidth="1"/>
    <col min="4" max="4" width="12" customWidth="1"/>
  </cols>
  <sheetData>
    <row r="1" spans="1:10" ht="19.95" customHeight="1" x14ac:dyDescent="0.3">
      <c r="A1" s="403" t="s">
        <v>563</v>
      </c>
      <c r="B1" s="373"/>
      <c r="C1" s="373"/>
      <c r="D1" s="373"/>
      <c r="E1" s="373"/>
      <c r="F1" s="373"/>
      <c r="G1" s="373"/>
      <c r="H1" s="373"/>
      <c r="I1" s="373"/>
      <c r="J1" s="374"/>
    </row>
    <row r="3" spans="1:10" x14ac:dyDescent="0.3">
      <c r="A3" s="358" t="s">
        <v>564</v>
      </c>
    </row>
    <row r="4" spans="1:10" x14ac:dyDescent="0.3">
      <c r="A4" s="354" t="s">
        <v>344</v>
      </c>
      <c r="B4" s="354" t="s">
        <v>453</v>
      </c>
      <c r="C4" s="354" t="s">
        <v>454</v>
      </c>
    </row>
    <row r="5" spans="1:10" ht="45" customHeight="1" x14ac:dyDescent="0.3">
      <c r="A5" s="358" t="s">
        <v>302</v>
      </c>
      <c r="B5" s="366" t="s">
        <v>565</v>
      </c>
      <c r="C5" s="367" t="s">
        <v>566</v>
      </c>
    </row>
    <row r="6" spans="1:10" ht="45" customHeight="1" x14ac:dyDescent="0.3">
      <c r="A6" s="358" t="s">
        <v>303</v>
      </c>
      <c r="B6" s="366" t="s">
        <v>567</v>
      </c>
      <c r="C6" s="367" t="s">
        <v>568</v>
      </c>
    </row>
    <row r="7" spans="1:10" ht="45" customHeight="1" x14ac:dyDescent="0.3">
      <c r="A7" s="358" t="s">
        <v>569</v>
      </c>
      <c r="B7" s="366" t="s">
        <v>570</v>
      </c>
      <c r="C7" s="367" t="s">
        <v>571</v>
      </c>
    </row>
    <row r="8" spans="1:10" ht="45" customHeight="1" x14ac:dyDescent="0.3">
      <c r="A8" s="358" t="s">
        <v>572</v>
      </c>
      <c r="B8" s="366" t="s">
        <v>573</v>
      </c>
      <c r="C8" s="367" t="s">
        <v>574</v>
      </c>
    </row>
    <row r="10" spans="1:10" x14ac:dyDescent="0.3">
      <c r="A10" s="358" t="s">
        <v>575</v>
      </c>
    </row>
    <row r="11" spans="1:10" ht="25.95" customHeight="1" x14ac:dyDescent="0.3">
      <c r="A11" s="358" t="s">
        <v>576</v>
      </c>
      <c r="B11" s="474" t="s">
        <v>577</v>
      </c>
      <c r="C11" s="378"/>
      <c r="D11" s="378"/>
      <c r="E11" s="378"/>
      <c r="F11" s="378"/>
      <c r="G11" s="378"/>
      <c r="H11" s="378"/>
    </row>
    <row r="12" spans="1:10" ht="25.95" customHeight="1" x14ac:dyDescent="0.3">
      <c r="A12" s="358" t="s">
        <v>578</v>
      </c>
      <c r="B12" s="474" t="s">
        <v>579</v>
      </c>
      <c r="C12" s="378"/>
      <c r="D12" s="378"/>
      <c r="E12" s="378"/>
      <c r="F12" s="378"/>
      <c r="G12" s="378"/>
      <c r="H12" s="378"/>
    </row>
    <row r="13" spans="1:10" ht="25.95" customHeight="1" x14ac:dyDescent="0.3">
      <c r="A13" s="358" t="s">
        <v>580</v>
      </c>
      <c r="B13" s="474" t="s">
        <v>581</v>
      </c>
      <c r="C13" s="378"/>
      <c r="D13" s="378"/>
      <c r="E13" s="378"/>
      <c r="F13" s="378"/>
      <c r="G13" s="378"/>
      <c r="H13" s="378"/>
    </row>
    <row r="14" spans="1:10" ht="25.95" customHeight="1" x14ac:dyDescent="0.3">
      <c r="A14" s="358" t="s">
        <v>582</v>
      </c>
      <c r="B14" s="474" t="s">
        <v>583</v>
      </c>
      <c r="C14" s="378"/>
      <c r="D14" s="378"/>
      <c r="E14" s="378"/>
      <c r="F14" s="378"/>
      <c r="G14" s="378"/>
      <c r="H14" s="378"/>
    </row>
    <row r="15" spans="1:10" ht="25.95" customHeight="1" x14ac:dyDescent="0.3">
      <c r="A15" s="358" t="s">
        <v>584</v>
      </c>
      <c r="B15" s="474" t="s">
        <v>585</v>
      </c>
      <c r="C15" s="378"/>
      <c r="D15" s="378"/>
      <c r="E15" s="378"/>
      <c r="F15" s="378"/>
      <c r="G15" s="378"/>
      <c r="H15" s="378"/>
    </row>
    <row r="16" spans="1:10" ht="25.95" customHeight="1" x14ac:dyDescent="0.3">
      <c r="A16" s="358" t="s">
        <v>586</v>
      </c>
      <c r="B16" s="474" t="s">
        <v>587</v>
      </c>
      <c r="C16" s="378"/>
      <c r="D16" s="378"/>
      <c r="E16" s="378"/>
      <c r="F16" s="378"/>
      <c r="G16" s="378"/>
      <c r="H16" s="378"/>
    </row>
    <row r="18" spans="1:8" x14ac:dyDescent="0.3">
      <c r="A18" s="358" t="s">
        <v>588</v>
      </c>
    </row>
    <row r="19" spans="1:8" ht="25.95" customHeight="1" x14ac:dyDescent="0.3">
      <c r="A19" s="475" t="s">
        <v>589</v>
      </c>
      <c r="B19" s="378"/>
      <c r="C19" s="378"/>
      <c r="D19" s="378"/>
      <c r="E19" s="378"/>
      <c r="F19" s="378"/>
      <c r="G19" s="378"/>
      <c r="H19" s="378"/>
    </row>
    <row r="20" spans="1:8" x14ac:dyDescent="0.3">
      <c r="A20" s="354" t="s">
        <v>284</v>
      </c>
      <c r="B20" s="354" t="s">
        <v>590</v>
      </c>
      <c r="C20" s="354" t="s">
        <v>591</v>
      </c>
      <c r="D20" s="354" t="s">
        <v>592</v>
      </c>
      <c r="E20" s="354" t="s">
        <v>593</v>
      </c>
      <c r="F20" s="354" t="s">
        <v>320</v>
      </c>
      <c r="G20" s="354" t="s">
        <v>321</v>
      </c>
      <c r="H20" s="354" t="s">
        <v>558</v>
      </c>
    </row>
    <row r="21" spans="1:8" x14ac:dyDescent="0.3">
      <c r="A21" s="352" t="s">
        <v>50</v>
      </c>
      <c r="B21" s="352" t="str">
        <f>IF(ISNUMBER(SEARCH("H1",'Pipeline 3 méthodes'!$AF$14)),"Simplifiée 3Y","Simplifiée Régime")</f>
        <v>Simplifiée 3Y</v>
      </c>
      <c r="C21" s="364">
        <f>'Pipeline 3 méthodes'!AC20</f>
        <v>1161.2712770629228</v>
      </c>
      <c r="D21" s="356">
        <f>IF(ISNUMBER(SEARCH("H1",'Pipeline 3 méthodes'!$AF$14)),STDEV('Pipeline 3 méthodes'!AR8:AR19),STDEV('Pipeline 3 méthodes'!AT8:AT19))</f>
        <v>4.4777557418431155E-3</v>
      </c>
      <c r="E21" s="368">
        <f>'Pipeline 3 méthodes'!$N$3</f>
        <v>2.2010000000000001</v>
      </c>
      <c r="F21" s="364">
        <f>C21*(1-E21*D21)</f>
        <v>1149.8263210906409</v>
      </c>
      <c r="G21" s="364">
        <f>C21*(1+E21*D21)</f>
        <v>1172.7162330352046</v>
      </c>
      <c r="H21" s="356">
        <f>'Pipeline 3 méthodes'!AZ20</f>
        <v>1.7109669640051209E-3</v>
      </c>
    </row>
    <row r="22" spans="1:8" x14ac:dyDescent="0.3">
      <c r="A22" s="352" t="s">
        <v>58</v>
      </c>
      <c r="B22" s="352" t="str">
        <f>IF(ISNUMBER(SEARCH("H1",'Pipeline 3 méthodes'!$AF$29)),"Simplifiée 3Y","Simplifiée Régime")</f>
        <v>Simplifiée 3Y</v>
      </c>
      <c r="C22" s="364">
        <f>'Pipeline 3 méthodes'!AC35</f>
        <v>1051.10171850133</v>
      </c>
      <c r="D22" s="356">
        <f>IF(ISNUMBER(SEARCH("H1",'Pipeline 3 méthodes'!$AF$29)),STDEV('Pipeline 3 méthodes'!AR23:AR34),STDEV('Pipeline 3 méthodes'!AT23:AT34))</f>
        <v>6.6913165978886458E-3</v>
      </c>
      <c r="E22" s="368">
        <f>'Pipeline 3 méthodes'!$N$3</f>
        <v>2.2010000000000001</v>
      </c>
      <c r="F22" s="364">
        <f>C22*(1-E22*D22)</f>
        <v>1035.6215256217849</v>
      </c>
      <c r="G22" s="364">
        <f>C22*(1+E22*D22)</f>
        <v>1066.5819113808748</v>
      </c>
      <c r="H22" s="356">
        <f>'Pipeline 3 méthodes'!AZ35</f>
        <v>4.484879537933719E-3</v>
      </c>
    </row>
    <row r="23" spans="1:8" x14ac:dyDescent="0.3">
      <c r="A23" s="352" t="s">
        <v>292</v>
      </c>
      <c r="B23" s="352" t="str">
        <f>IF(ISNUMBER(SEARCH("H1",'Pipeline 3 méthodes'!$AF$44)),"Simplifiée 3Y","Simplifiée Régime")</f>
        <v>Simplifiée Régime</v>
      </c>
      <c r="C23" s="364">
        <f>'Pipeline 3 méthodes'!AC50</f>
        <v>1845.8113524408016</v>
      </c>
      <c r="D23" s="356">
        <f>IF(ISNUMBER(SEARCH("H1",'Pipeline 3 méthodes'!$AF$44)),STDEV('Pipeline 3 méthodes'!AR38:AR49),STDEV('Pipeline 3 méthodes'!AT38:AT49))</f>
        <v>2.3599079088670993E-3</v>
      </c>
      <c r="E23" s="368">
        <f>'Pipeline 3 méthodes'!$N$3</f>
        <v>2.2010000000000001</v>
      </c>
      <c r="F23" s="364">
        <f>C23*(1-E23*D23)</f>
        <v>1836.2239179164089</v>
      </c>
      <c r="G23" s="364">
        <f>C23*(1+E23*D23)</f>
        <v>1855.3987869651944</v>
      </c>
      <c r="H23" s="356">
        <f>'Pipeline 3 méthodes'!AZ50</f>
        <v>3.5427689240948167E-3</v>
      </c>
    </row>
    <row r="24" spans="1:8" x14ac:dyDescent="0.3">
      <c r="A24" s="352" t="s">
        <v>293</v>
      </c>
      <c r="B24" s="352" t="str">
        <f>IF(ISNUMBER(SEARCH("H1",'Pipeline 3 méthodes'!$AF$59)),"Simplifiée 3Y","Simplifiée Régime")</f>
        <v>Simplifiée Régime</v>
      </c>
      <c r="C24" s="364">
        <f>'Pipeline 3 méthodes'!AC65</f>
        <v>1600.824677782367</v>
      </c>
      <c r="D24" s="356">
        <f>IF(ISNUMBER(SEARCH("H1",'Pipeline 3 méthodes'!$AF$59)),STDEV('Pipeline 3 méthodes'!AR53:AR64),STDEV('Pipeline 3 méthodes'!AT53:AT64))</f>
        <v>5.5568450681934771E-2</v>
      </c>
      <c r="E24" s="368">
        <f>'Pipeline 3 méthodes'!$N$3</f>
        <v>2.2010000000000001</v>
      </c>
      <c r="F24" s="364">
        <f>C24*(1-E24*D24)</f>
        <v>1405.0339586881073</v>
      </c>
      <c r="G24" s="364">
        <f>C24*(1+E24*D24)</f>
        <v>1796.6153968766268</v>
      </c>
      <c r="H24" s="356">
        <f>'Pipeline 3 méthodes'!AZ65</f>
        <v>3.4039473331618345E-2</v>
      </c>
    </row>
    <row r="26" spans="1:8" x14ac:dyDescent="0.3">
      <c r="A26" s="358" t="s">
        <v>594</v>
      </c>
    </row>
    <row r="27" spans="1:8" ht="28.05" customHeight="1" x14ac:dyDescent="0.3">
      <c r="A27" s="358" t="s">
        <v>555</v>
      </c>
      <c r="B27" s="473" t="s">
        <v>595</v>
      </c>
      <c r="C27" s="378"/>
      <c r="D27" s="378"/>
      <c r="E27" s="378"/>
      <c r="F27" s="378"/>
      <c r="G27" s="378"/>
      <c r="H27" s="378"/>
    </row>
    <row r="28" spans="1:8" ht="28.05" customHeight="1" x14ac:dyDescent="0.3">
      <c r="A28" s="358" t="s">
        <v>596</v>
      </c>
      <c r="B28" s="473" t="s">
        <v>597</v>
      </c>
      <c r="C28" s="378"/>
      <c r="D28" s="378"/>
      <c r="E28" s="378"/>
      <c r="F28" s="378"/>
      <c r="G28" s="378"/>
      <c r="H28" s="378"/>
    </row>
    <row r="29" spans="1:8" ht="28.05" customHeight="1" x14ac:dyDescent="0.3">
      <c r="A29" s="358" t="s">
        <v>598</v>
      </c>
      <c r="B29" s="473" t="s">
        <v>599</v>
      </c>
      <c r="C29" s="378"/>
      <c r="D29" s="378"/>
      <c r="E29" s="378"/>
      <c r="F29" s="378"/>
      <c r="G29" s="378"/>
      <c r="H29" s="378"/>
    </row>
    <row r="31" spans="1:8" x14ac:dyDescent="0.3">
      <c r="A31" s="358" t="s">
        <v>600</v>
      </c>
    </row>
    <row r="32" spans="1:8" x14ac:dyDescent="0.3">
      <c r="A32" s="354" t="s">
        <v>601</v>
      </c>
      <c r="B32" s="354" t="s">
        <v>602</v>
      </c>
      <c r="F32" s="354" t="s">
        <v>603</v>
      </c>
    </row>
    <row r="33" spans="1:10" ht="30" customHeight="1" x14ac:dyDescent="0.3">
      <c r="A33" s="358" t="s">
        <v>604</v>
      </c>
      <c r="B33" s="473" t="s">
        <v>605</v>
      </c>
      <c r="C33" s="378"/>
      <c r="D33" s="378"/>
      <c r="E33" s="378"/>
      <c r="F33" s="472" t="s">
        <v>606</v>
      </c>
      <c r="G33" s="378"/>
      <c r="H33" s="378"/>
      <c r="I33" s="378"/>
      <c r="J33" s="378"/>
    </row>
    <row r="34" spans="1:10" ht="30" customHeight="1" x14ac:dyDescent="0.3">
      <c r="A34" s="358" t="s">
        <v>607</v>
      </c>
      <c r="B34" s="473" t="s">
        <v>608</v>
      </c>
      <c r="C34" s="378"/>
      <c r="D34" s="378"/>
      <c r="E34" s="378"/>
      <c r="F34" s="472" t="s">
        <v>609</v>
      </c>
      <c r="G34" s="378"/>
      <c r="H34" s="378"/>
      <c r="I34" s="378"/>
      <c r="J34" s="378"/>
    </row>
    <row r="35" spans="1:10" ht="30" customHeight="1" x14ac:dyDescent="0.3">
      <c r="A35" s="358" t="s">
        <v>610</v>
      </c>
      <c r="B35" s="473" t="s">
        <v>611</v>
      </c>
      <c r="C35" s="378"/>
      <c r="D35" s="378"/>
      <c r="E35" s="378"/>
      <c r="F35" s="472" t="s">
        <v>612</v>
      </c>
      <c r="G35" s="378"/>
      <c r="H35" s="378"/>
      <c r="I35" s="378"/>
      <c r="J35" s="378"/>
    </row>
  </sheetData>
  <mergeCells count="17">
    <mergeCell ref="B11:H11"/>
    <mergeCell ref="F33:J33"/>
    <mergeCell ref="F35:J35"/>
    <mergeCell ref="B28:H28"/>
    <mergeCell ref="B14:H14"/>
    <mergeCell ref="A1:J1"/>
    <mergeCell ref="B35:E35"/>
    <mergeCell ref="B27:H27"/>
    <mergeCell ref="B13:H13"/>
    <mergeCell ref="F34:J34"/>
    <mergeCell ref="B12:H12"/>
    <mergeCell ref="B33:E33"/>
    <mergeCell ref="B16:H16"/>
    <mergeCell ref="A19:H19"/>
    <mergeCell ref="B15:H15"/>
    <mergeCell ref="B29:H29"/>
    <mergeCell ref="B34:E34"/>
  </mergeCells>
  <pageMargins left="0.75" right="0.75" top="1" bottom="1" header="0.5" footer="0.5"/>
  <headerFooter>
    <oddFooter>&amp;C&amp;8 &amp;K888888ThinknSolv © copyright 2026 CONFIDENTIEL</oddFooter>
    <evenFooter>&amp;C&amp;8 &amp;K888888ThinknSolv © copyright 2026 CONFIDENTIEL</even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Historique</vt:lpstr>
      <vt:lpstr>Methode 0</vt:lpstr>
      <vt:lpstr>Initiale</vt:lpstr>
      <vt:lpstr>Optimisée</vt:lpstr>
      <vt:lpstr>Données</vt:lpstr>
      <vt:lpstr>Python</vt:lpstr>
      <vt:lpstr>Combinée</vt:lpstr>
      <vt:lpstr>Simplifiée</vt:lpstr>
      <vt:lpstr>Synthèse</vt:lpstr>
      <vt:lpstr>Conclusion</vt:lpstr>
      <vt:lpstr>Recommandation</vt:lpstr>
      <vt:lpstr>Graphique des ventes</vt:lpstr>
      <vt:lpstr>Pipeline 3 méthodes</vt:lpstr>
      <vt:lpstr>Synthèse (3 méthodes)</vt:lpstr>
      <vt:lpstr>Méthode &amp; graphiques</vt:lpstr>
    </vt:vector>
  </TitlesOfParts>
  <Company>ThinknSolv © copyright 2026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ThinknSolv © copyright 2026</dc:creator>
  <cp:lastModifiedBy>ThinknSolv © copyright 2026</cp:lastModifiedBy>
  <dcterms:created xsi:type="dcterms:W3CDTF">2026-08-07T08:43:03Z</dcterms:created>
  <dcterms:modified xsi:type="dcterms:W3CDTF">2026-08-28T19:31:38Z</dcterms:modified>
</cp:coreProperties>
</file>