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5b0a9d8085dd976/Desktop/Documents/Laurent/Training IA/Agents IA/TWIN agents IA/Prévision biz plan-master/"/>
    </mc:Choice>
  </mc:AlternateContent>
  <xr:revisionPtr revIDLastSave="0" documentId="11_4FD3A6724B3EB8ECE0C9BB6F241FECDAF6CE0200" xr6:coauthVersionLast="47" xr6:coauthVersionMax="47" xr10:uidLastSave="{00000000-0000-0000-0000-000000000000}"/>
  <bookViews>
    <workbookView xWindow="-21720" yWindow="-3480" windowWidth="21840" windowHeight="13020" xr2:uid="{00000000-000D-0000-FFFF-FFFF00000000}"/>
  </bookViews>
  <sheets>
    <sheet name="Hypothèses" sheetId="1" r:id="rId1"/>
    <sheet name="Résulta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2" l="1"/>
  <c r="I24" i="2"/>
  <c r="H24" i="2"/>
  <c r="G24" i="2"/>
  <c r="F24" i="2"/>
  <c r="E24" i="2"/>
  <c r="I23" i="2"/>
  <c r="I26" i="2" s="1"/>
  <c r="H23" i="2"/>
  <c r="G23" i="2"/>
  <c r="F23" i="2"/>
  <c r="E23" i="2"/>
  <c r="C14" i="2"/>
  <c r="D64" i="2" s="1"/>
  <c r="E64" i="2" s="1"/>
  <c r="C12" i="2"/>
  <c r="C11" i="2"/>
  <c r="D61" i="2" s="1"/>
  <c r="E61" i="2" s="1"/>
  <c r="C10" i="2"/>
  <c r="D60" i="2" s="1"/>
  <c r="E60" i="2" s="1"/>
  <c r="E4" i="2"/>
  <c r="E5" i="2" s="1"/>
  <c r="E6" i="2" s="1"/>
  <c r="E7" i="2" s="1"/>
  <c r="E16" i="2" s="1"/>
  <c r="E17" i="2" s="1"/>
  <c r="G26" i="2" l="1"/>
  <c r="H26" i="2"/>
  <c r="C13" i="2"/>
  <c r="E26" i="2"/>
  <c r="F26" i="2"/>
  <c r="C53" i="2" s="1"/>
  <c r="C63" i="2" s="1"/>
  <c r="E18" i="2"/>
  <c r="E19" i="2"/>
  <c r="D62" i="2"/>
  <c r="E62" i="2" s="1"/>
  <c r="F4" i="2"/>
  <c r="F5" i="2" l="1"/>
  <c r="F6" i="2" s="1"/>
  <c r="F7" i="2" s="1"/>
  <c r="F16" i="2" s="1"/>
  <c r="F17" i="2" s="1"/>
  <c r="G4" i="2"/>
  <c r="E20" i="2"/>
  <c r="E25" i="2"/>
  <c r="E27" i="2" s="1"/>
  <c r="G5" i="2" l="1"/>
  <c r="G6" i="2" s="1"/>
  <c r="G7" i="2" s="1"/>
  <c r="G16" i="2" s="1"/>
  <c r="G17" i="2" s="1"/>
  <c r="H4" i="2"/>
  <c r="E22" i="2"/>
  <c r="E21" i="2"/>
  <c r="F19" i="2"/>
  <c r="F18" i="2"/>
  <c r="E35" i="2" l="1"/>
  <c r="E28" i="2"/>
  <c r="H5" i="2"/>
  <c r="H6" i="2" s="1"/>
  <c r="H7" i="2" s="1"/>
  <c r="H16" i="2" s="1"/>
  <c r="H17" i="2" s="1"/>
  <c r="I4" i="2"/>
  <c r="I5" i="2" s="1"/>
  <c r="I6" i="2" s="1"/>
  <c r="I7" i="2" s="1"/>
  <c r="I16" i="2" s="1"/>
  <c r="I17" i="2" s="1"/>
  <c r="F25" i="2"/>
  <c r="F27" i="2" s="1"/>
  <c r="F20" i="2"/>
  <c r="G19" i="2"/>
  <c r="G18" i="2"/>
  <c r="I19" i="2" l="1"/>
  <c r="I18" i="2"/>
  <c r="G20" i="2"/>
  <c r="G25" i="2"/>
  <c r="G27" i="2" s="1"/>
  <c r="F22" i="2"/>
  <c r="F21" i="2"/>
  <c r="H19" i="2"/>
  <c r="H18" i="2"/>
  <c r="E30" i="2"/>
  <c r="E29" i="2"/>
  <c r="E31" i="2"/>
  <c r="E32" i="2" s="1"/>
  <c r="E38" i="2"/>
  <c r="E36" i="2"/>
  <c r="G22" i="2" l="1"/>
  <c r="G21" i="2"/>
  <c r="H25" i="2"/>
  <c r="H27" i="2" s="1"/>
  <c r="H20" i="2"/>
  <c r="F35" i="2"/>
  <c r="F28" i="2"/>
  <c r="E37" i="2"/>
  <c r="E40" i="2" s="1"/>
  <c r="E39" i="2"/>
  <c r="I20" i="2"/>
  <c r="I25" i="2"/>
  <c r="I27" i="2" s="1"/>
  <c r="H21" i="2" l="1"/>
  <c r="H22" i="2"/>
  <c r="F31" i="2"/>
  <c r="F32" i="2" s="1"/>
  <c r="F30" i="2"/>
  <c r="F29" i="2"/>
  <c r="I22" i="2"/>
  <c r="I21" i="2"/>
  <c r="F36" i="2"/>
  <c r="F38" i="2"/>
  <c r="G35" i="2"/>
  <c r="G28" i="2"/>
  <c r="G36" i="2" l="1"/>
  <c r="G38" i="2"/>
  <c r="F39" i="2"/>
  <c r="F37" i="2"/>
  <c r="F40" i="2" s="1"/>
  <c r="G29" i="2"/>
  <c r="G31" i="2"/>
  <c r="G32" i="2" s="1"/>
  <c r="G30" i="2"/>
  <c r="I35" i="2"/>
  <c r="I28" i="2"/>
  <c r="H35" i="2"/>
  <c r="H28" i="2"/>
  <c r="C50" i="2"/>
  <c r="C54" i="2" s="1"/>
  <c r="D63" i="2" s="1"/>
  <c r="E63" i="2" s="1"/>
  <c r="I36" i="2" l="1"/>
  <c r="I38" i="2"/>
  <c r="I31" i="2"/>
  <c r="I29" i="2"/>
  <c r="C43" i="2" s="1"/>
  <c r="C44" i="2" s="1"/>
  <c r="C46" i="2" s="1"/>
  <c r="C47" i="2" s="1"/>
  <c r="I30" i="2"/>
  <c r="H29" i="2"/>
  <c r="H31" i="2"/>
  <c r="H32" i="2" s="1"/>
  <c r="H30" i="2"/>
  <c r="G37" i="2"/>
  <c r="G40" i="2" s="1"/>
  <c r="G39" i="2"/>
  <c r="H38" i="2"/>
  <c r="H36" i="2"/>
  <c r="C51" i="2"/>
  <c r="I32" i="2" l="1"/>
  <c r="C55" i="2"/>
  <c r="D59" i="2" s="1"/>
  <c r="E59" i="2" s="1"/>
  <c r="H37" i="2"/>
  <c r="H40" i="2" s="1"/>
  <c r="H39" i="2"/>
  <c r="D58" i="2"/>
  <c r="E58" i="2" s="1"/>
  <c r="E65" i="2" s="1"/>
  <c r="C66" i="2" s="1"/>
  <c r="C52" i="2"/>
  <c r="I37" i="2"/>
  <c r="I40" i="2" s="1"/>
  <c r="I39" i="2"/>
</calcChain>
</file>

<file path=xl/sharedStrings.xml><?xml version="1.0" encoding="utf-8"?>
<sst xmlns="http://schemas.openxmlformats.org/spreadsheetml/2006/main" count="139" uniqueCount="118">
  <si>
    <t>Prévision biz plan — Hypothèses</t>
  </si>
  <si>
    <t>Cellules bleues = entrées modifiables. Source : hypotheses_IN.csv (export du calculateur) ou scénario Pluto par défaut. Sections regroupées comme dans l'appli : ① Contexte, ② Marché, ③ Modèle économique (Ventes+Coûts), ④ Risques+Décision, ⑤ Valorisation+Financement.</t>
  </si>
  <si>
    <t>① Cas / Contexte</t>
  </si>
  <si>
    <t>Nom du cas</t>
  </si>
  <si>
    <t>Pluto — Entrée marché UAE</t>
  </si>
  <si>
    <t>Description</t>
  </si>
  <si>
    <t>Cas : Pluto, entreprise proposant une offre intégrée matériel + logiciel + services, envisage une entrée aux Émirats Arabes Unis (UAE) via un partenaire local non exclusif.</t>
  </si>
  <si>
    <t>② Marché</t>
  </si>
  <si>
    <t>Marché total 2026 (M€)</t>
  </si>
  <si>
    <t>Ligne</t>
  </si>
  <si>
    <t>Croissance marché — CAGR</t>
  </si>
  <si>
    <t>TAM — % du marché (région)</t>
  </si>
  <si>
    <t>SAM — % du TAM (segment)</t>
  </si>
  <si>
    <t>Nb concurrents (SOM = SAM / N)</t>
  </si>
  <si>
    <t>③ Modèle économique — Ventes</t>
  </si>
  <si>
    <t>Conversion commerciale (avantage concurrentiel, ×)</t>
  </si>
  <si>
    <t>Mix Produit (%, reste = Services)</t>
  </si>
  <si>
    <t>Marge partenaire (%)</t>
  </si>
  <si>
    <t>③ Modèle économique — Coûts</t>
  </si>
  <si>
    <t>Coût / tête Développement (k€/an)</t>
  </si>
  <si>
    <t>Coût / tête Marketing (k€/an)</t>
  </si>
  <si>
    <t>Coût de fabrication (% CA Produit)</t>
  </si>
  <si>
    <t>Coûts de mise en place</t>
  </si>
  <si>
    <t>Logistique (bureaux, IT)</t>
  </si>
  <si>
    <t>Effectif Développement (pers.)</t>
  </si>
  <si>
    <t>Effectif Marketing (pers.)</t>
  </si>
  <si>
    <t>Tiers (IP, légal, incubation)</t>
  </si>
  <si>
    <t>Capex (immobilisations)</t>
  </si>
  <si>
    <t>④ Risques marché (7 facteurs)</t>
  </si>
  <si>
    <t>Facteur</t>
  </si>
  <si>
    <t>Impact % ventes</t>
  </si>
  <si>
    <t>Confiance</t>
  </si>
  <si>
    <t>Démographie</t>
  </si>
  <si>
    <t>high</t>
  </si>
  <si>
    <t>Politique</t>
  </si>
  <si>
    <t>mid</t>
  </si>
  <si>
    <t>Économie</t>
  </si>
  <si>
    <t>low</t>
  </si>
  <si>
    <t>Sociétal</t>
  </si>
  <si>
    <t>Technologie</t>
  </si>
  <si>
    <t>Environnement</t>
  </si>
  <si>
    <t>Légal, Éthique</t>
  </si>
  <si>
    <t>④ Risques exécution (2 facteurs)</t>
  </si>
  <si>
    <t>Opérations</t>
  </si>
  <si>
    <t>Concurrence</t>
  </si>
  <si>
    <t>④ Risques POC / Pilote (3 facteurs)</t>
  </si>
  <si>
    <t>Nb clients POC-Pilote</t>
  </si>
  <si>
    <t>Vitesse de vente depuis pilotes</t>
  </si>
  <si>
    <t>Investissement partenaire</t>
  </si>
  <si>
    <t>⑤ Valorisation</t>
  </si>
  <si>
    <t>Multiple de sortie (× EBITDA an 5)</t>
  </si>
  <si>
    <t>Taux de retour cible investisseur (%/an)</t>
  </si>
  <si>
    <t>⑤ Financement (par an, M€)</t>
  </si>
  <si>
    <t>Emprunts</t>
  </si>
  <si>
    <t>Subventions</t>
  </si>
  <si>
    <t>Capital — Fondateur</t>
  </si>
  <si>
    <t>Capital — Investisseurs</t>
  </si>
  <si>
    <t>Prévision biz plan — Résultats (formules vivantes)</t>
  </si>
  <si>
    <t>Indicateur</t>
  </si>
  <si>
    <t>Marché total (M€)</t>
  </si>
  <si>
    <t>TAM — région (M€)</t>
  </si>
  <si>
    <t>SAM — segment (M€)</t>
  </si>
  <si>
    <t>SOM (M€)</t>
  </si>
  <si>
    <t>Risques (agrégation multiplicative — "The Decision")</t>
  </si>
  <si>
    <t>SAM Market Risk</t>
  </si>
  <si>
    <t>Sales Execution risk</t>
  </si>
  <si>
    <t>Pilot feedback</t>
  </si>
  <si>
    <t>Facteur de Succès (SF)</t>
  </si>
  <si>
    <t>Confiance qualité données</t>
  </si>
  <si>
    <t>SOM ajusté risques (M€)</t>
  </si>
  <si>
    <t>Ventes brutes (M€)</t>
  </si>
  <si>
    <t>dont Produit (M€)</t>
  </si>
  <si>
    <t>dont Services (M€)</t>
  </si>
  <si>
    <t>Ventes totales (M€)</t>
  </si>
  <si>
    <t>Part de marché SAM (%)</t>
  </si>
  <si>
    <t>CA société (M€)</t>
  </si>
  <si>
    <t>Coût Développement (M€)</t>
  </si>
  <si>
    <t>Coût Marketing (M€)</t>
  </si>
  <si>
    <t>Coût fabrication — variable (M€)</t>
  </si>
  <si>
    <t>Coûts fixes (M€)</t>
  </si>
  <si>
    <t>Coût total (M€)</t>
  </si>
  <si>
    <t>Résultat — P&amp;L (M€)</t>
  </si>
  <si>
    <t>EBITDA (M€)</t>
  </si>
  <si>
    <t>EBITDA (%)</t>
  </si>
  <si>
    <t>Trésorerie — mouvement annuel (M€)</t>
  </si>
  <si>
    <t>Trésorerie cumulée (M€)</t>
  </si>
  <si>
    <t>Scénarios (Business Sensitivity — Pessimiste -20%, Worst -40% en cascade)</t>
  </si>
  <si>
    <t>Base — Ventes (M€)</t>
  </si>
  <si>
    <t>Pessimiste -20% — Ventes (M€)</t>
  </si>
  <si>
    <t>Worst -40% (cascade) — Ventes (M€)</t>
  </si>
  <si>
    <t>Base — P&amp;L (M€)</t>
  </si>
  <si>
    <t>Pessimiste — P&amp;L (M€)</t>
  </si>
  <si>
    <t>Worst — P&amp;L (M€)</t>
  </si>
  <si>
    <t>Valorisation</t>
  </si>
  <si>
    <t>Valeur de sortie (M€)</t>
  </si>
  <si>
    <t>Valeur d'entrée actualisée (M€)</t>
  </si>
  <si>
    <t>Fonds investisseurs (M€)</t>
  </si>
  <si>
    <t>Part investisseurs (%)</t>
  </si>
  <si>
    <t>Retour investisseurs à la sortie (M€)</t>
  </si>
  <si>
    <t>Décision Go/No-Go — Expected Value (EV) et 7 critères</t>
  </si>
  <si>
    <t>CA cumulé 5 ans (M€)</t>
  </si>
  <si>
    <t>EBITDA cumulé 5 ans (M€)</t>
  </si>
  <si>
    <t>EBITDA cumulé (%)</t>
  </si>
  <si>
    <t>Coûts fixes cumulés (M€)</t>
  </si>
  <si>
    <t>Expected Value (EV, M€)</t>
  </si>
  <si>
    <t>Besoin de financement — peak (M€)</t>
  </si>
  <si>
    <t>Critère (Go/No-Go)</t>
  </si>
  <si>
    <t>Seuil GO (≥)</t>
  </si>
  <si>
    <t>Valeur</t>
  </si>
  <si>
    <t>Décision</t>
  </si>
  <si>
    <t>EBITDA P&amp;L 5 ans (M€)</t>
  </si>
  <si>
    <t>Risque marché SAM</t>
  </si>
  <si>
    <t>Risque exécution ventes</t>
  </si>
  <si>
    <t>Retour POC-Pilote</t>
  </si>
  <si>
    <t>Expected Value vs 2× coûts fixes (M€)</t>
  </si>
  <si>
    <t>Total critères GO</t>
  </si>
  <si>
    <t>Note — séquence de calcul (IN → OUT)</t>
  </si>
  <si>
    <t>Marché (CAGR→TAM→SAM→SOM) → Risques (3 blocs agrégés multiplicativement : marché 7 facteurs, exécution 2 facteurs, POC/pilote 3 facteurs) → SOM ajusté (SAM Market Risk) → Ventes (conversion, mix Produit/Services) → CA société → Coûts → P&amp;L/EBITDA → Trésorerie cumulée (+ Financement) → Facteur de Succès (SF) → Expected Value (EV) → Décision (7 critères chiffrés, seuils repris de "The Decision" — Go si ≥6/7, Go pilote conditionné si ≥4/7, sinon No-Go) → Valorisation/Exit.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</si>
</sst>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9"/>
      <color rgb="FF5E6D7A"/>
      <name val="Calibri"/>
    </font>
    <font>
      <b/>
      <sz val="11"/>
      <color rgb="FFFFFFFF"/>
      <name val="Calibri"/>
    </font>
    <font>
      <b/>
      <sz val="11"/>
      <name val="Calibri"/>
    </font>
    <font>
      <sz val="11"/>
      <color rgb="FF0000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6"/>
  <sheetViews>
    <sheetView showGridLines="0" tabSelected="1" workbookViewId="0"/>
  </sheetViews>
  <sheetFormatPr defaultRowHeight="14.4" x14ac:dyDescent="0.3"/>
  <cols>
    <col min="2" max="2" width="46" customWidth="1"/>
    <col min="3" max="4" width="14" customWidth="1"/>
    <col min="5" max="9" width="12" customWidth="1"/>
  </cols>
  <sheetData>
    <row r="1" spans="2:8" ht="18" x14ac:dyDescent="0.35">
      <c r="B1" s="1" t="s">
        <v>0</v>
      </c>
    </row>
    <row r="2" spans="2:8" x14ac:dyDescent="0.3">
      <c r="B2" s="2" t="s">
        <v>1</v>
      </c>
    </row>
    <row r="4" spans="2:8" x14ac:dyDescent="0.3">
      <c r="B4" s="3" t="s">
        <v>2</v>
      </c>
      <c r="C4" s="4"/>
      <c r="D4" s="4"/>
    </row>
    <row r="5" spans="2:8" x14ac:dyDescent="0.3">
      <c r="B5" s="5" t="s">
        <v>3</v>
      </c>
      <c r="C5" s="6" t="s">
        <v>4</v>
      </c>
    </row>
    <row r="6" spans="2:8" x14ac:dyDescent="0.3">
      <c r="B6" s="5" t="s">
        <v>5</v>
      </c>
      <c r="C6" s="6" t="s">
        <v>6</v>
      </c>
    </row>
    <row r="8" spans="2:8" x14ac:dyDescent="0.3">
      <c r="B8" s="3" t="s">
        <v>7</v>
      </c>
      <c r="C8" s="4"/>
      <c r="D8" s="4"/>
    </row>
    <row r="9" spans="2:8" x14ac:dyDescent="0.3">
      <c r="B9" s="5" t="s">
        <v>8</v>
      </c>
      <c r="C9" s="6">
        <v>7500</v>
      </c>
    </row>
    <row r="11" spans="2:8" x14ac:dyDescent="0.3">
      <c r="B11" s="5" t="s">
        <v>9</v>
      </c>
      <c r="D11" s="5">
        <v>2026</v>
      </c>
      <c r="E11" s="5">
        <v>2027</v>
      </c>
      <c r="F11" s="5">
        <v>2028</v>
      </c>
      <c r="G11" s="5">
        <v>2029</v>
      </c>
      <c r="H11" s="5">
        <v>2030</v>
      </c>
    </row>
    <row r="12" spans="2:8" x14ac:dyDescent="0.3">
      <c r="B12" t="s">
        <v>10</v>
      </c>
      <c r="D12" s="6">
        <v>0.02</v>
      </c>
      <c r="E12" s="6">
        <v>0.02</v>
      </c>
      <c r="F12" s="6">
        <v>0.02</v>
      </c>
      <c r="G12" s="6">
        <v>0.02</v>
      </c>
      <c r="H12" s="6">
        <v>0.02</v>
      </c>
    </row>
    <row r="13" spans="2:8" x14ac:dyDescent="0.3">
      <c r="B13" t="s">
        <v>11</v>
      </c>
      <c r="D13" s="6">
        <v>0.1</v>
      </c>
      <c r="E13" s="6">
        <v>0.1</v>
      </c>
      <c r="F13" s="6">
        <v>0.1</v>
      </c>
      <c r="G13" s="6">
        <v>0.1</v>
      </c>
      <c r="H13" s="6">
        <v>0.1</v>
      </c>
    </row>
    <row r="14" spans="2:8" x14ac:dyDescent="0.3">
      <c r="B14" t="s">
        <v>12</v>
      </c>
      <c r="D14" s="6">
        <v>0.45</v>
      </c>
      <c r="E14" s="6">
        <v>0.45</v>
      </c>
      <c r="F14" s="6">
        <v>0.45</v>
      </c>
      <c r="G14" s="6">
        <v>0.45</v>
      </c>
      <c r="H14" s="6">
        <v>0.45</v>
      </c>
    </row>
    <row r="15" spans="2:8" x14ac:dyDescent="0.3">
      <c r="B15" t="s">
        <v>13</v>
      </c>
      <c r="D15" s="6">
        <v>5</v>
      </c>
      <c r="E15" s="6">
        <v>5</v>
      </c>
      <c r="F15" s="6">
        <v>5</v>
      </c>
      <c r="G15" s="6">
        <v>5</v>
      </c>
      <c r="H15" s="6">
        <v>5</v>
      </c>
    </row>
    <row r="17" spans="2:8" x14ac:dyDescent="0.3">
      <c r="B17" s="3" t="s">
        <v>14</v>
      </c>
      <c r="C17" s="4"/>
      <c r="D17" s="4"/>
    </row>
    <row r="18" spans="2:8" x14ac:dyDescent="0.3">
      <c r="B18" s="5" t="s">
        <v>9</v>
      </c>
      <c r="D18" s="5">
        <v>2026</v>
      </c>
      <c r="E18" s="5">
        <v>2027</v>
      </c>
      <c r="F18" s="5">
        <v>2028</v>
      </c>
      <c r="G18" s="5">
        <v>2029</v>
      </c>
      <c r="H18" s="5">
        <v>2030</v>
      </c>
    </row>
    <row r="19" spans="2:8" x14ac:dyDescent="0.3">
      <c r="B19" t="s">
        <v>15</v>
      </c>
      <c r="D19" s="6">
        <v>0</v>
      </c>
      <c r="E19" s="6">
        <v>1.7539109473640371E-2</v>
      </c>
      <c r="F19" s="6">
        <v>5.8463698245467877E-2</v>
      </c>
      <c r="G19" s="6">
        <v>0.17539109473640371</v>
      </c>
      <c r="H19" s="6">
        <v>0.46770958596374301</v>
      </c>
    </row>
    <row r="20" spans="2:8" x14ac:dyDescent="0.3">
      <c r="B20" t="s">
        <v>16</v>
      </c>
      <c r="D20" s="6">
        <v>0</v>
      </c>
      <c r="E20" s="6">
        <v>1</v>
      </c>
      <c r="F20" s="6">
        <v>0.86153846153846159</v>
      </c>
      <c r="G20" s="6">
        <v>0.7804878048780487</v>
      </c>
      <c r="H20" s="6">
        <v>0.69724770642201839</v>
      </c>
    </row>
    <row r="21" spans="2:8" x14ac:dyDescent="0.3">
      <c r="B21" t="s">
        <v>17</v>
      </c>
      <c r="D21" s="6">
        <v>0.25</v>
      </c>
      <c r="E21" s="6">
        <v>0.25</v>
      </c>
      <c r="F21" s="6">
        <v>0.25</v>
      </c>
      <c r="G21" s="6">
        <v>0.25</v>
      </c>
      <c r="H21" s="6">
        <v>0.25</v>
      </c>
    </row>
    <row r="23" spans="2:8" x14ac:dyDescent="0.3">
      <c r="B23" s="3" t="s">
        <v>18</v>
      </c>
      <c r="C23" s="4"/>
      <c r="D23" s="4"/>
    </row>
    <row r="24" spans="2:8" x14ac:dyDescent="0.3">
      <c r="B24" s="5" t="s">
        <v>19</v>
      </c>
      <c r="C24" s="6">
        <v>-100</v>
      </c>
    </row>
    <row r="25" spans="2:8" x14ac:dyDescent="0.3">
      <c r="B25" s="5" t="s">
        <v>20</v>
      </c>
      <c r="C25" s="6">
        <v>-100</v>
      </c>
    </row>
    <row r="26" spans="2:8" x14ac:dyDescent="0.3">
      <c r="B26" s="5" t="s">
        <v>21</v>
      </c>
      <c r="C26" s="6">
        <v>0.45</v>
      </c>
    </row>
    <row r="28" spans="2:8" x14ac:dyDescent="0.3">
      <c r="B28" s="5" t="s">
        <v>9</v>
      </c>
      <c r="D28" s="5">
        <v>2026</v>
      </c>
      <c r="E28" s="5">
        <v>2027</v>
      </c>
      <c r="F28" s="5">
        <v>2028</v>
      </c>
      <c r="G28" s="5">
        <v>2029</v>
      </c>
      <c r="H28" s="5">
        <v>2030</v>
      </c>
    </row>
    <row r="29" spans="2:8" x14ac:dyDescent="0.3">
      <c r="B29" t="s">
        <v>22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</row>
    <row r="30" spans="2:8" x14ac:dyDescent="0.3">
      <c r="B30" t="s">
        <v>23</v>
      </c>
      <c r="D30" s="6">
        <v>0</v>
      </c>
      <c r="E30" s="6">
        <v>-0.05</v>
      </c>
      <c r="F30" s="6">
        <v>-0.1</v>
      </c>
      <c r="G30" s="6">
        <v>-0.15</v>
      </c>
      <c r="H30" s="6">
        <v>-0.2</v>
      </c>
    </row>
    <row r="31" spans="2:8" x14ac:dyDescent="0.3">
      <c r="B31" t="s">
        <v>24</v>
      </c>
      <c r="D31" s="6">
        <v>1</v>
      </c>
      <c r="E31" s="6">
        <v>1</v>
      </c>
      <c r="F31" s="6">
        <v>0.5</v>
      </c>
      <c r="G31" s="6">
        <v>0.2</v>
      </c>
      <c r="H31" s="6">
        <v>0.2</v>
      </c>
    </row>
    <row r="32" spans="2:8" x14ac:dyDescent="0.3">
      <c r="B32" t="s">
        <v>25</v>
      </c>
      <c r="D32" s="6">
        <v>1</v>
      </c>
      <c r="E32" s="6">
        <v>1.5</v>
      </c>
      <c r="F32" s="6">
        <v>2</v>
      </c>
      <c r="G32" s="6">
        <v>2.5</v>
      </c>
      <c r="H32" s="6">
        <v>3</v>
      </c>
    </row>
    <row r="33" spans="2:8" x14ac:dyDescent="0.3">
      <c r="B33" t="s">
        <v>26</v>
      </c>
      <c r="D33" s="6">
        <v>-0.18</v>
      </c>
      <c r="E33" s="6">
        <v>0</v>
      </c>
      <c r="F33" s="6">
        <v>0</v>
      </c>
      <c r="G33" s="6">
        <v>0</v>
      </c>
      <c r="H33" s="6">
        <v>0</v>
      </c>
    </row>
    <row r="34" spans="2:8" x14ac:dyDescent="0.3">
      <c r="B34" t="s">
        <v>27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</row>
    <row r="36" spans="2:8" x14ac:dyDescent="0.3">
      <c r="B36" s="3" t="s">
        <v>28</v>
      </c>
      <c r="C36" s="4"/>
      <c r="D36" s="4"/>
    </row>
    <row r="37" spans="2:8" x14ac:dyDescent="0.3">
      <c r="B37" s="5" t="s">
        <v>29</v>
      </c>
      <c r="C37" s="5" t="s">
        <v>30</v>
      </c>
      <c r="D37" s="5" t="s">
        <v>31</v>
      </c>
    </row>
    <row r="38" spans="2:8" x14ac:dyDescent="0.3">
      <c r="B38" t="s">
        <v>32</v>
      </c>
      <c r="C38" s="6">
        <v>-0.05</v>
      </c>
      <c r="D38" t="s">
        <v>33</v>
      </c>
    </row>
    <row r="39" spans="2:8" x14ac:dyDescent="0.3">
      <c r="B39" t="s">
        <v>34</v>
      </c>
      <c r="C39" s="6">
        <v>-0.05</v>
      </c>
      <c r="D39" t="s">
        <v>35</v>
      </c>
    </row>
    <row r="40" spans="2:8" x14ac:dyDescent="0.3">
      <c r="B40" t="s">
        <v>36</v>
      </c>
      <c r="C40" s="6">
        <v>0.05</v>
      </c>
      <c r="D40" t="s">
        <v>37</v>
      </c>
    </row>
    <row r="41" spans="2:8" x14ac:dyDescent="0.3">
      <c r="B41" t="s">
        <v>38</v>
      </c>
      <c r="C41" s="6">
        <v>-0.05</v>
      </c>
      <c r="D41" t="s">
        <v>35</v>
      </c>
    </row>
    <row r="42" spans="2:8" x14ac:dyDescent="0.3">
      <c r="B42" t="s">
        <v>39</v>
      </c>
      <c r="C42" s="6">
        <v>0</v>
      </c>
      <c r="D42" t="s">
        <v>33</v>
      </c>
    </row>
    <row r="43" spans="2:8" x14ac:dyDescent="0.3">
      <c r="B43" t="s">
        <v>40</v>
      </c>
      <c r="C43" s="6">
        <v>0</v>
      </c>
      <c r="D43" t="s">
        <v>35</v>
      </c>
    </row>
    <row r="44" spans="2:8" x14ac:dyDescent="0.3">
      <c r="B44" t="s">
        <v>41</v>
      </c>
      <c r="C44" s="6">
        <v>-0.05</v>
      </c>
      <c r="D44" t="s">
        <v>37</v>
      </c>
    </row>
    <row r="46" spans="2:8" x14ac:dyDescent="0.3">
      <c r="B46" s="3" t="s">
        <v>42</v>
      </c>
      <c r="C46" s="4"/>
      <c r="D46" s="4"/>
    </row>
    <row r="47" spans="2:8" x14ac:dyDescent="0.3">
      <c r="B47" s="5" t="s">
        <v>29</v>
      </c>
      <c r="C47" s="5" t="s">
        <v>30</v>
      </c>
      <c r="D47" s="5" t="s">
        <v>31</v>
      </c>
    </row>
    <row r="48" spans="2:8" x14ac:dyDescent="0.3">
      <c r="B48" t="s">
        <v>43</v>
      </c>
      <c r="C48" s="6">
        <v>-0.1</v>
      </c>
      <c r="D48" t="s">
        <v>33</v>
      </c>
    </row>
    <row r="49" spans="2:8" x14ac:dyDescent="0.3">
      <c r="B49" t="s">
        <v>44</v>
      </c>
      <c r="C49" s="6">
        <v>-0.1</v>
      </c>
      <c r="D49" t="s">
        <v>37</v>
      </c>
    </row>
    <row r="51" spans="2:8" x14ac:dyDescent="0.3">
      <c r="B51" s="3" t="s">
        <v>45</v>
      </c>
      <c r="C51" s="4"/>
      <c r="D51" s="4"/>
    </row>
    <row r="52" spans="2:8" x14ac:dyDescent="0.3">
      <c r="B52" s="5" t="s">
        <v>29</v>
      </c>
      <c r="C52" s="5" t="s">
        <v>30</v>
      </c>
      <c r="D52" s="5" t="s">
        <v>31</v>
      </c>
    </row>
    <row r="53" spans="2:8" x14ac:dyDescent="0.3">
      <c r="B53" t="s">
        <v>46</v>
      </c>
      <c r="C53" s="6">
        <v>-0.1</v>
      </c>
      <c r="D53" t="s">
        <v>35</v>
      </c>
    </row>
    <row r="54" spans="2:8" x14ac:dyDescent="0.3">
      <c r="B54" t="s">
        <v>47</v>
      </c>
      <c r="C54" s="6">
        <v>-0.05</v>
      </c>
      <c r="D54" t="s">
        <v>37</v>
      </c>
    </row>
    <row r="55" spans="2:8" x14ac:dyDescent="0.3">
      <c r="B55" t="s">
        <v>48</v>
      </c>
      <c r="C55" s="6">
        <v>0.02</v>
      </c>
      <c r="D55" t="s">
        <v>37</v>
      </c>
    </row>
    <row r="57" spans="2:8" x14ac:dyDescent="0.3">
      <c r="B57" s="3" t="s">
        <v>49</v>
      </c>
      <c r="C57" s="4"/>
      <c r="D57" s="4"/>
    </row>
    <row r="58" spans="2:8" x14ac:dyDescent="0.3">
      <c r="B58" s="5" t="s">
        <v>50</v>
      </c>
      <c r="C58" s="6">
        <v>7</v>
      </c>
    </row>
    <row r="59" spans="2:8" x14ac:dyDescent="0.3">
      <c r="B59" s="5" t="s">
        <v>51</v>
      </c>
      <c r="C59" s="6">
        <v>0.4</v>
      </c>
    </row>
    <row r="61" spans="2:8" x14ac:dyDescent="0.3">
      <c r="B61" s="3" t="s">
        <v>52</v>
      </c>
      <c r="C61" s="4"/>
      <c r="D61" s="4"/>
    </row>
    <row r="62" spans="2:8" x14ac:dyDescent="0.3">
      <c r="B62" s="5" t="s">
        <v>9</v>
      </c>
      <c r="D62" s="5">
        <v>2026</v>
      </c>
      <c r="E62" s="5">
        <v>2027</v>
      </c>
      <c r="F62" s="5">
        <v>2028</v>
      </c>
      <c r="G62" s="5">
        <v>2029</v>
      </c>
      <c r="H62" s="5">
        <v>2030</v>
      </c>
    </row>
    <row r="63" spans="2:8" x14ac:dyDescent="0.3">
      <c r="B63" t="s">
        <v>53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</row>
    <row r="64" spans="2:8" x14ac:dyDescent="0.3">
      <c r="B64" t="s">
        <v>54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</row>
    <row r="65" spans="2:8" x14ac:dyDescent="0.3">
      <c r="B65" t="s">
        <v>55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</row>
    <row r="66" spans="2:8" x14ac:dyDescent="0.3">
      <c r="B66" t="s">
        <v>56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9"/>
  <sheetViews>
    <sheetView showGridLines="0" workbookViewId="0"/>
  </sheetViews>
  <sheetFormatPr defaultRowHeight="14.4" x14ac:dyDescent="0.3"/>
  <cols>
    <col min="2" max="2" width="32" customWidth="1"/>
    <col min="3" max="9" width="14" customWidth="1"/>
  </cols>
  <sheetData>
    <row r="1" spans="2:9" ht="18" x14ac:dyDescent="0.35">
      <c r="B1" s="1" t="s">
        <v>57</v>
      </c>
    </row>
    <row r="3" spans="2:9" x14ac:dyDescent="0.3">
      <c r="B3" s="5" t="s">
        <v>58</v>
      </c>
      <c r="E3" s="5">
        <v>2026</v>
      </c>
      <c r="F3" s="5">
        <v>2027</v>
      </c>
      <c r="G3" s="5">
        <v>2028</v>
      </c>
      <c r="H3" s="5">
        <v>2029</v>
      </c>
      <c r="I3" s="5">
        <v>2030</v>
      </c>
    </row>
    <row r="4" spans="2:9" x14ac:dyDescent="0.3">
      <c r="B4" t="s">
        <v>59</v>
      </c>
      <c r="E4" s="7">
        <f>Hypothèses!C9</f>
        <v>7500</v>
      </c>
      <c r="F4" s="7">
        <f>E4*(1+Hypothèses!E12)</f>
        <v>7650</v>
      </c>
      <c r="G4" s="7">
        <f>F4*(1+Hypothèses!F12)</f>
        <v>7803</v>
      </c>
      <c r="H4" s="7">
        <f>G4*(1+Hypothèses!G12)</f>
        <v>7959.06</v>
      </c>
      <c r="I4" s="7">
        <f>H4*(1+Hypothèses!H12)</f>
        <v>8118.2412000000004</v>
      </c>
    </row>
    <row r="5" spans="2:9" x14ac:dyDescent="0.3">
      <c r="B5" t="s">
        <v>60</v>
      </c>
      <c r="E5" s="7">
        <f>E4*Hypothèses!D13</f>
        <v>750</v>
      </c>
      <c r="F5" s="7">
        <f>F4*Hypothèses!E13</f>
        <v>765</v>
      </c>
      <c r="G5" s="7">
        <f>G4*Hypothèses!F13</f>
        <v>780.30000000000007</v>
      </c>
      <c r="H5" s="7">
        <f>H4*Hypothèses!G13</f>
        <v>795.90600000000006</v>
      </c>
      <c r="I5" s="7">
        <f>I4*Hypothèses!H13</f>
        <v>811.82412000000011</v>
      </c>
    </row>
    <row r="6" spans="2:9" x14ac:dyDescent="0.3">
      <c r="B6" t="s">
        <v>61</v>
      </c>
      <c r="E6" s="7">
        <f>Hypothèses!D14*E5</f>
        <v>337.5</v>
      </c>
      <c r="F6" s="7">
        <f>Hypothèses!E14*F5</f>
        <v>344.25</v>
      </c>
      <c r="G6" s="7">
        <f>Hypothèses!F14*G5</f>
        <v>351.13500000000005</v>
      </c>
      <c r="H6" s="7">
        <f>Hypothèses!G14*H5</f>
        <v>358.15770000000003</v>
      </c>
      <c r="I6" s="7">
        <f>Hypothèses!H14*I5</f>
        <v>365.32085400000005</v>
      </c>
    </row>
    <row r="7" spans="2:9" x14ac:dyDescent="0.3">
      <c r="B7" t="s">
        <v>62</v>
      </c>
      <c r="E7" s="7">
        <f>IFERROR(E6/Hypothèses!D15,0)</f>
        <v>67.5</v>
      </c>
      <c r="F7" s="7">
        <f>IFERROR(F6/Hypothèses!E15,0)</f>
        <v>68.849999999999994</v>
      </c>
      <c r="G7" s="7">
        <f>IFERROR(G6/Hypothèses!F15,0)</f>
        <v>70.227000000000004</v>
      </c>
      <c r="H7" s="7">
        <f>IFERROR(H6/Hypothèses!G15,0)</f>
        <v>71.631540000000001</v>
      </c>
      <c r="I7" s="7">
        <f>IFERROR(I6/Hypothèses!H15,0)</f>
        <v>73.064170800000014</v>
      </c>
    </row>
    <row r="9" spans="2:9" x14ac:dyDescent="0.3">
      <c r="B9" s="3" t="s">
        <v>63</v>
      </c>
      <c r="C9" s="4"/>
      <c r="D9" s="4"/>
    </row>
    <row r="10" spans="2:9" x14ac:dyDescent="0.3">
      <c r="B10" t="s">
        <v>64</v>
      </c>
      <c r="C10" s="7">
        <f>(1+Hypothèses!C38)*(1+Hypothèses!C39)*(1+Hypothèses!C40)*(1+Hypothèses!C41)*(1+Hypothèses!C42)*(1+Hypothèses!C43)*(1+Hypothèses!C44)-1</f>
        <v>-0.14476843750000001</v>
      </c>
    </row>
    <row r="11" spans="2:9" x14ac:dyDescent="0.3">
      <c r="B11" t="s">
        <v>65</v>
      </c>
      <c r="C11" s="7">
        <f>(1+Hypothèses!C48)*(1+Hypothèses!C49)-1</f>
        <v>-0.18999999999999995</v>
      </c>
    </row>
    <row r="12" spans="2:9" x14ac:dyDescent="0.3">
      <c r="B12" t="s">
        <v>66</v>
      </c>
      <c r="C12" s="7">
        <f>(1+Hypothèses!C53)*(1+Hypothèses!C54)*(1+Hypothèses!C55)-1</f>
        <v>-0.12790000000000001</v>
      </c>
    </row>
    <row r="13" spans="2:9" x14ac:dyDescent="0.3">
      <c r="B13" t="s">
        <v>67</v>
      </c>
      <c r="C13" s="5">
        <f>(1+C10)*(1+C11)*(1+C12)</f>
        <v>0.60413643098156244</v>
      </c>
    </row>
    <row r="14" spans="2:9" x14ac:dyDescent="0.3">
      <c r="B14" t="s">
        <v>68</v>
      </c>
      <c r="C14" s="7">
        <f>1-((COUNTIF(Hypothèses!D38:D44,"low")+COUNTIF(Hypothèses!D48:D49,"low")+COUNTIF(Hypothèses!D53:D55,"low"))/12)</f>
        <v>0.58333333333333326</v>
      </c>
    </row>
    <row r="16" spans="2:9" x14ac:dyDescent="0.3">
      <c r="B16" t="s">
        <v>69</v>
      </c>
      <c r="E16" s="7">
        <f>E7*(1+$C$10)</f>
        <v>57.728130468750003</v>
      </c>
      <c r="F16" s="7">
        <f>F7*(1+$C$10)</f>
        <v>58.882693078124994</v>
      </c>
      <c r="G16" s="7">
        <f>G7*(1+$C$10)</f>
        <v>60.060346939687506</v>
      </c>
      <c r="H16" s="7">
        <f>H7*(1+$C$10)</f>
        <v>61.261553878481251</v>
      </c>
      <c r="I16" s="7">
        <f>I7*(1+$C$10)</f>
        <v>62.486784956050883</v>
      </c>
    </row>
    <row r="17" spans="2:9" x14ac:dyDescent="0.3">
      <c r="B17" t="s">
        <v>70</v>
      </c>
      <c r="E17" s="7">
        <f>E16*Hypothèses!D19</f>
        <v>0</v>
      </c>
      <c r="F17" s="7">
        <f>F16*Hypothèses!E19</f>
        <v>1.0327500000000003</v>
      </c>
      <c r="G17" s="7">
        <f>G16*Hypothèses!F19</f>
        <v>3.5113500000000002</v>
      </c>
      <c r="H17" s="7">
        <f>H16*Hypothèses!G19</f>
        <v>10.744731000000005</v>
      </c>
      <c r="I17" s="7">
        <f>I16*Hypothèses!H19</f>
        <v>29.225668320000004</v>
      </c>
    </row>
    <row r="18" spans="2:9" x14ac:dyDescent="0.3">
      <c r="B18" t="s">
        <v>71</v>
      </c>
      <c r="E18" s="7">
        <f>E17*Hypothèses!D20</f>
        <v>0</v>
      </c>
      <c r="F18" s="7">
        <f>F17*Hypothèses!E20</f>
        <v>1.0327500000000003</v>
      </c>
      <c r="G18" s="7">
        <f>G17*Hypothèses!F20</f>
        <v>3.0251630769230773</v>
      </c>
      <c r="H18" s="7">
        <f>H17*Hypothèses!G20</f>
        <v>8.3861315121951243</v>
      </c>
      <c r="I18" s="7">
        <f>I17*Hypothèses!H20</f>
        <v>20.377530204770647</v>
      </c>
    </row>
    <row r="19" spans="2:9" x14ac:dyDescent="0.3">
      <c r="B19" t="s">
        <v>72</v>
      </c>
      <c r="E19" s="7">
        <f>E17*(1-Hypothèses!D20)</f>
        <v>0</v>
      </c>
      <c r="F19" s="7">
        <f>F17*(1-Hypothèses!E20)</f>
        <v>0</v>
      </c>
      <c r="G19" s="7">
        <f>G17*(1-Hypothèses!F20)</f>
        <v>0.48618692307692296</v>
      </c>
      <c r="H19" s="7">
        <f>H17*(1-Hypothèses!G20)</f>
        <v>2.3585994878048799</v>
      </c>
      <c r="I19" s="7">
        <f>I17*(1-Hypothèses!H20)</f>
        <v>8.8481381152293572</v>
      </c>
    </row>
    <row r="20" spans="2:9" x14ac:dyDescent="0.3">
      <c r="B20" t="s">
        <v>73</v>
      </c>
      <c r="E20" s="7">
        <f>E18+E19</f>
        <v>0</v>
      </c>
      <c r="F20" s="7">
        <f>F18+F19</f>
        <v>1.0327500000000003</v>
      </c>
      <c r="G20" s="7">
        <f>G18+G19</f>
        <v>3.5113500000000002</v>
      </c>
      <c r="H20" s="7">
        <f>H18+H19</f>
        <v>10.744731000000005</v>
      </c>
      <c r="I20" s="7">
        <f>I18+I19</f>
        <v>29.225668320000004</v>
      </c>
    </row>
    <row r="21" spans="2:9" x14ac:dyDescent="0.3">
      <c r="B21" t="s">
        <v>74</v>
      </c>
      <c r="E21" s="7">
        <f>IFERROR(E20/E6,0)</f>
        <v>0</v>
      </c>
      <c r="F21" s="7">
        <f>IFERROR(F20/F6,0)</f>
        <v>3.0000000000000009E-3</v>
      </c>
      <c r="G21" s="7">
        <f>IFERROR(G20/G6,0)</f>
        <v>9.9999999999999985E-3</v>
      </c>
      <c r="H21" s="7">
        <f>IFERROR(H20/H6,0)</f>
        <v>3.0000000000000013E-2</v>
      </c>
      <c r="I21" s="7">
        <f>IFERROR(I20/I6,0)</f>
        <v>0.08</v>
      </c>
    </row>
    <row r="22" spans="2:9" x14ac:dyDescent="0.3">
      <c r="B22" t="s">
        <v>75</v>
      </c>
      <c r="E22" s="7">
        <f>E20*(1-Hypothèses!D21)</f>
        <v>0</v>
      </c>
      <c r="F22" s="7">
        <f>F20*(1-Hypothèses!E21)</f>
        <v>0.77456250000000026</v>
      </c>
      <c r="G22" s="7">
        <f>G20*(1-Hypothèses!F21)</f>
        <v>2.6335125000000001</v>
      </c>
      <c r="H22" s="7">
        <f>H20*(1-Hypothèses!G21)</f>
        <v>8.0585482500000047</v>
      </c>
      <c r="I22" s="7">
        <f>I20*(1-Hypothèses!H21)</f>
        <v>21.919251240000001</v>
      </c>
    </row>
    <row r="23" spans="2:9" x14ac:dyDescent="0.3">
      <c r="B23" t="s">
        <v>76</v>
      </c>
      <c r="E23" s="7">
        <f>Hypothèses!C24*Hypothèses!D31/1000</f>
        <v>-0.1</v>
      </c>
      <c r="F23" s="7">
        <f>Hypothèses!C24*Hypothèses!E31/1000</f>
        <v>-0.1</v>
      </c>
      <c r="G23" s="7">
        <f>Hypothèses!C24*Hypothèses!F31/1000</f>
        <v>-0.05</v>
      </c>
      <c r="H23" s="7">
        <f>Hypothèses!C24*Hypothèses!G31/1000</f>
        <v>-0.02</v>
      </c>
      <c r="I23" s="7">
        <f>Hypothèses!C24*Hypothèses!H31/1000</f>
        <v>-0.02</v>
      </c>
    </row>
    <row r="24" spans="2:9" x14ac:dyDescent="0.3">
      <c r="B24" t="s">
        <v>77</v>
      </c>
      <c r="E24" s="7">
        <f>Hypothèses!C25*Hypothèses!D32/1000</f>
        <v>-0.1</v>
      </c>
      <c r="F24" s="7">
        <f>Hypothèses!C25*Hypothèses!E32/1000</f>
        <v>-0.15</v>
      </c>
      <c r="G24" s="7">
        <f>Hypothèses!C25*Hypothèses!F32/1000</f>
        <v>-0.2</v>
      </c>
      <c r="H24" s="7">
        <f>Hypothèses!C25*Hypothèses!G32/1000</f>
        <v>-0.25</v>
      </c>
      <c r="I24" s="7">
        <f>Hypothèses!C25*Hypothèses!H32/1000</f>
        <v>-0.3</v>
      </c>
    </row>
    <row r="25" spans="2:9" x14ac:dyDescent="0.3">
      <c r="B25" t="s">
        <v>78</v>
      </c>
      <c r="E25" s="7">
        <f>-Hypothèses!C26*E18</f>
        <v>0</v>
      </c>
      <c r="F25" s="7">
        <f>-Hypothèses!C26*F18</f>
        <v>-0.46473750000000014</v>
      </c>
      <c r="G25" s="7">
        <f>-Hypothèses!C26*G18</f>
        <v>-1.3613233846153847</v>
      </c>
      <c r="H25" s="7">
        <f>-Hypothèses!C26*H18</f>
        <v>-3.7737591804878061</v>
      </c>
      <c r="I25" s="7">
        <f>-Hypothèses!C26*I18</f>
        <v>-9.1698885921467905</v>
      </c>
    </row>
    <row r="26" spans="2:9" x14ac:dyDescent="0.3">
      <c r="B26" t="s">
        <v>79</v>
      </c>
      <c r="E26" s="7">
        <f>Hypothèses!D29+Hypothèses!D30+E23+E24+Hypothèses!D33+Hypothèses!D34</f>
        <v>-0.38</v>
      </c>
      <c r="F26" s="7">
        <f>Hypothèses!E29+Hypothèses!E30+F23+F24+Hypothèses!E33+Hypothèses!E34</f>
        <v>-0.30000000000000004</v>
      </c>
      <c r="G26" s="7">
        <f>Hypothèses!F29+Hypothèses!F30+G23+G24+Hypothèses!F33+Hypothèses!F34</f>
        <v>-0.35000000000000003</v>
      </c>
      <c r="H26" s="7">
        <f>Hypothèses!G29+Hypothèses!G30+H23+H24+Hypothèses!G33+Hypothèses!G34</f>
        <v>-0.42</v>
      </c>
      <c r="I26" s="7">
        <f>Hypothèses!H29+Hypothèses!H30+I23+I24+Hypothèses!H33+Hypothèses!H34</f>
        <v>-0.52</v>
      </c>
    </row>
    <row r="27" spans="2:9" x14ac:dyDescent="0.3">
      <c r="B27" t="s">
        <v>80</v>
      </c>
      <c r="E27" s="7">
        <f>E26+E25</f>
        <v>-0.38</v>
      </c>
      <c r="F27" s="7">
        <f>F26+F25</f>
        <v>-0.76473750000000018</v>
      </c>
      <c r="G27" s="7">
        <f>G26+G25</f>
        <v>-1.7113233846153848</v>
      </c>
      <c r="H27" s="7">
        <f>H26+H25</f>
        <v>-4.193759180487806</v>
      </c>
      <c r="I27" s="7">
        <f>I26+I25</f>
        <v>-9.6898885921467901</v>
      </c>
    </row>
    <row r="28" spans="2:9" x14ac:dyDescent="0.3">
      <c r="B28" t="s">
        <v>81</v>
      </c>
      <c r="E28" s="7">
        <f>E22+E27</f>
        <v>-0.38</v>
      </c>
      <c r="F28" s="7">
        <f>F22+F27</f>
        <v>9.8250000000000837E-3</v>
      </c>
      <c r="G28" s="7">
        <f>G22+G27</f>
        <v>0.92218911538461534</v>
      </c>
      <c r="H28" s="7">
        <f>H22+H27</f>
        <v>3.8647890695121987</v>
      </c>
      <c r="I28" s="7">
        <f>I22+I27</f>
        <v>12.229362647853211</v>
      </c>
    </row>
    <row r="29" spans="2:9" x14ac:dyDescent="0.3">
      <c r="B29" t="s">
        <v>82</v>
      </c>
      <c r="E29" s="7" t="str">
        <f>IF(E28&gt;=0,E28,"")</f>
        <v/>
      </c>
      <c r="F29" s="7">
        <f>IF(F28&gt;=0,F28,"")</f>
        <v>9.8250000000000837E-3</v>
      </c>
      <c r="G29" s="7">
        <f>IF(G28&gt;=0,G28,"")</f>
        <v>0.92218911538461534</v>
      </c>
      <c r="H29" s="7">
        <f>IF(H28&gt;=0,H28,"")</f>
        <v>3.8647890695121987</v>
      </c>
      <c r="I29" s="7">
        <f>IF(I28&gt;=0,I28,"")</f>
        <v>12.229362647853211</v>
      </c>
    </row>
    <row r="30" spans="2:9" x14ac:dyDescent="0.3">
      <c r="B30" t="s">
        <v>83</v>
      </c>
      <c r="E30" s="7" t="str">
        <f>IFERROR(IF(E28&gt;=0,E28/E22,""),"")</f>
        <v/>
      </c>
      <c r="F30" s="7">
        <f>IFERROR(IF(F28&gt;=0,F28/F22,""),"")</f>
        <v>1.2684580004841546E-2</v>
      </c>
      <c r="G30" s="7">
        <f>IFERROR(IF(G28&gt;=0,G28/G22,""),"")</f>
        <v>0.35017457307858429</v>
      </c>
      <c r="H30" s="7">
        <f>IFERROR(IF(H28&gt;=0,H28/H22,""),"")</f>
        <v>0.47958874844637139</v>
      </c>
      <c r="I30" s="7">
        <f>IFERROR(IF(I28&gt;=0,I28/I22,""),"")</f>
        <v>0.55792793804635499</v>
      </c>
    </row>
    <row r="31" spans="2:9" x14ac:dyDescent="0.3">
      <c r="B31" t="s">
        <v>84</v>
      </c>
      <c r="E31" s="7">
        <f>Hypothèses!D65+Hypothèses!D66+Hypothèses!D64+Hypothèses!D63+E28</f>
        <v>-0.38</v>
      </c>
      <c r="F31" s="7">
        <f>Hypothèses!E65+Hypothèses!E66+Hypothèses!E64+Hypothèses!E63+F28</f>
        <v>9.8250000000000837E-3</v>
      </c>
      <c r="G31" s="7">
        <f>Hypothèses!F65+Hypothèses!F66+Hypothèses!F64+Hypothèses!F63+G28</f>
        <v>0.92218911538461534</v>
      </c>
      <c r="H31" s="7">
        <f>Hypothèses!G65+Hypothèses!G66+Hypothèses!G64+Hypothèses!G63+H28</f>
        <v>3.8647890695121987</v>
      </c>
      <c r="I31" s="7">
        <f>Hypothèses!H65+Hypothèses!H66+Hypothèses!H64+Hypothèses!H63+I28</f>
        <v>12.229362647853211</v>
      </c>
    </row>
    <row r="32" spans="2:9" x14ac:dyDescent="0.3">
      <c r="B32" t="s">
        <v>85</v>
      </c>
      <c r="E32" s="7">
        <f>E31</f>
        <v>-0.38</v>
      </c>
      <c r="F32" s="7">
        <f>E32+F31</f>
        <v>-0.37017499999999992</v>
      </c>
      <c r="G32" s="7">
        <f>F32+G31</f>
        <v>0.55201411538461542</v>
      </c>
      <c r="H32" s="7">
        <f>G32+H31</f>
        <v>4.4168031848968141</v>
      </c>
      <c r="I32" s="7">
        <f>H32+I31</f>
        <v>16.646165832750025</v>
      </c>
    </row>
    <row r="34" spans="2:9" x14ac:dyDescent="0.3">
      <c r="B34" s="3" t="s">
        <v>86</v>
      </c>
      <c r="C34" s="4"/>
      <c r="D34" s="4"/>
    </row>
    <row r="35" spans="2:9" x14ac:dyDescent="0.3">
      <c r="B35" t="s">
        <v>87</v>
      </c>
      <c r="E35" s="7">
        <f>E22</f>
        <v>0</v>
      </c>
      <c r="F35" s="7">
        <f>F22</f>
        <v>0.77456250000000026</v>
      </c>
      <c r="G35" s="7">
        <f>G22</f>
        <v>2.6335125000000001</v>
      </c>
      <c r="H35" s="7">
        <f>H22</f>
        <v>8.0585482500000047</v>
      </c>
      <c r="I35" s="7">
        <f>I22</f>
        <v>21.919251240000001</v>
      </c>
    </row>
    <row r="36" spans="2:9" x14ac:dyDescent="0.3">
      <c r="B36" t="s">
        <v>88</v>
      </c>
      <c r="E36" s="7">
        <f>0.8*E35</f>
        <v>0</v>
      </c>
      <c r="F36" s="7">
        <f>0.8*F35</f>
        <v>0.61965000000000026</v>
      </c>
      <c r="G36" s="7">
        <f>0.8*G35</f>
        <v>2.1068100000000003</v>
      </c>
      <c r="H36" s="7">
        <f>0.8*H35</f>
        <v>6.446838600000004</v>
      </c>
      <c r="I36" s="7">
        <f>0.8*I35</f>
        <v>17.535400992000003</v>
      </c>
    </row>
    <row r="37" spans="2:9" x14ac:dyDescent="0.3">
      <c r="B37" t="s">
        <v>89</v>
      </c>
      <c r="E37" s="7">
        <f>0.6*E36</f>
        <v>0</v>
      </c>
      <c r="F37" s="7">
        <f>0.6*F36</f>
        <v>0.37179000000000012</v>
      </c>
      <c r="G37" s="7">
        <f>0.6*G36</f>
        <v>1.264086</v>
      </c>
      <c r="H37" s="7">
        <f>0.6*H36</f>
        <v>3.8681031600000022</v>
      </c>
      <c r="I37" s="7">
        <f>0.6*I36</f>
        <v>10.521240595200002</v>
      </c>
    </row>
    <row r="38" spans="2:9" x14ac:dyDescent="0.3">
      <c r="B38" t="s">
        <v>90</v>
      </c>
      <c r="E38" s="7">
        <f>IFERROR(E35*((E35+E25)/E35)+E26,E26)</f>
        <v>-0.38</v>
      </c>
      <c r="F38" s="7">
        <f>IFERROR(F35*((F35+F25)/F35)+F26,F26)</f>
        <v>9.8250000000000837E-3</v>
      </c>
      <c r="G38" s="7">
        <f>IFERROR(G35*((G35+G25)/G35)+G26,G26)</f>
        <v>0.92218911538461534</v>
      </c>
      <c r="H38" s="7">
        <f>IFERROR(H35*((H35+H25)/H35)+H26,H26)</f>
        <v>3.8647890695121987</v>
      </c>
      <c r="I38" s="7">
        <f>IFERROR(I35*((I35+I25)/I35)+I26,I26)</f>
        <v>12.229362647853211</v>
      </c>
    </row>
    <row r="39" spans="2:9" x14ac:dyDescent="0.3">
      <c r="B39" t="s">
        <v>91</v>
      </c>
      <c r="E39" s="7">
        <f>IFERROR(E36*((E35+E25)/E35)+E26,E26)</f>
        <v>-0.38</v>
      </c>
      <c r="F39" s="7">
        <f>IFERROR(F36*((F35+F25)/F35)+F26,F26)</f>
        <v>-5.2139999999999936E-2</v>
      </c>
      <c r="G39" s="7">
        <f>IFERROR(G36*((G35+G25)/G35)+G26,G26)</f>
        <v>0.66775129230769226</v>
      </c>
      <c r="H39" s="7">
        <f>IFERROR(H36*((H35+H25)/H35)+H26,H26)</f>
        <v>3.0078312556097591</v>
      </c>
      <c r="I39" s="7">
        <f>IFERROR(I36*((I35+I25)/I35)+I26,I26)</f>
        <v>9.6794901182825708</v>
      </c>
    </row>
    <row r="40" spans="2:9" x14ac:dyDescent="0.3">
      <c r="B40" t="s">
        <v>92</v>
      </c>
      <c r="E40" s="7">
        <f>IFERROR(E37*((E35+E25)/E35)+E26,E26)</f>
        <v>-0.38</v>
      </c>
      <c r="F40" s="7">
        <f>IFERROR(F37*((F35+F25)/F35)+F26,F26)</f>
        <v>-0.151284</v>
      </c>
      <c r="G40" s="7">
        <f>IFERROR(G37*((G35+G25)/G35)+G26,G26)</f>
        <v>0.2606507753846154</v>
      </c>
      <c r="H40" s="7">
        <f>IFERROR(H37*((H35+H25)/H35)+H26,H26)</f>
        <v>1.6366987533658555</v>
      </c>
      <c r="I40" s="7">
        <f>IFERROR(I37*((I35+I25)/I35)+I26,I26)</f>
        <v>5.5996940709695426</v>
      </c>
    </row>
    <row r="42" spans="2:9" x14ac:dyDescent="0.3">
      <c r="B42" s="3" t="s">
        <v>93</v>
      </c>
      <c r="C42" s="4"/>
      <c r="D42" s="4"/>
    </row>
    <row r="43" spans="2:9" x14ac:dyDescent="0.3">
      <c r="B43" t="s">
        <v>94</v>
      </c>
      <c r="C43" s="7">
        <f>Hypothèses!C58*IF(ISNUMBER(I29),I29,0)</f>
        <v>85.605538534972482</v>
      </c>
    </row>
    <row r="44" spans="2:9" x14ac:dyDescent="0.3">
      <c r="B44" t="s">
        <v>95</v>
      </c>
      <c r="C44" s="7">
        <f>C43/(1+Hypothèses!C59)^5</f>
        <v>15.917017190562808</v>
      </c>
    </row>
    <row r="45" spans="2:9" x14ac:dyDescent="0.3">
      <c r="B45" t="s">
        <v>96</v>
      </c>
      <c r="C45" s="7">
        <f>SUM(Hypothèses!D66:'Hypothèses'!H66)</f>
        <v>0</v>
      </c>
    </row>
    <row r="46" spans="2:9" x14ac:dyDescent="0.3">
      <c r="B46" t="s">
        <v>97</v>
      </c>
      <c r="C46" s="7">
        <f>IFERROR(C45/C44,0)</f>
        <v>0</v>
      </c>
    </row>
    <row r="47" spans="2:9" x14ac:dyDescent="0.3">
      <c r="B47" t="s">
        <v>98</v>
      </c>
      <c r="C47" s="7">
        <f>C46*C43</f>
        <v>0</v>
      </c>
    </row>
    <row r="49" spans="2:5" x14ac:dyDescent="0.3">
      <c r="B49" s="3" t="s">
        <v>99</v>
      </c>
      <c r="C49" s="4"/>
      <c r="D49" s="4"/>
    </row>
    <row r="50" spans="2:5" x14ac:dyDescent="0.3">
      <c r="B50" t="s">
        <v>100</v>
      </c>
      <c r="C50" s="7">
        <f>SUM(E22:I22)</f>
        <v>33.385874490000006</v>
      </c>
    </row>
    <row r="51" spans="2:5" x14ac:dyDescent="0.3">
      <c r="B51" t="s">
        <v>101</v>
      </c>
      <c r="C51" s="7">
        <f>SUM(E28:I28)</f>
        <v>16.646165832750025</v>
      </c>
    </row>
    <row r="52" spans="2:5" x14ac:dyDescent="0.3">
      <c r="B52" t="s">
        <v>102</v>
      </c>
      <c r="C52" s="7">
        <f>IFERROR(C51/C50,0)</f>
        <v>0.49859906583354624</v>
      </c>
    </row>
    <row r="53" spans="2:5" x14ac:dyDescent="0.3">
      <c r="B53" t="s">
        <v>103</v>
      </c>
      <c r="C53" s="7">
        <f>SUM(E26:I26)</f>
        <v>-1.97</v>
      </c>
    </row>
    <row r="54" spans="2:5" x14ac:dyDescent="0.3">
      <c r="B54" t="s">
        <v>104</v>
      </c>
      <c r="C54" s="5">
        <f>C13*C50+(1-C13)*C53</f>
        <v>19.389771828620674</v>
      </c>
    </row>
    <row r="55" spans="2:5" x14ac:dyDescent="0.3">
      <c r="B55" t="s">
        <v>105</v>
      </c>
      <c r="C55" s="7">
        <f>-MIN(0,MIN(E32:I32))</f>
        <v>0.38</v>
      </c>
    </row>
    <row r="57" spans="2:5" x14ac:dyDescent="0.3">
      <c r="B57" s="5" t="s">
        <v>106</v>
      </c>
      <c r="C57" s="5" t="s">
        <v>107</v>
      </c>
      <c r="D57" s="5" t="s">
        <v>108</v>
      </c>
      <c r="E57" s="5" t="s">
        <v>109</v>
      </c>
    </row>
    <row r="58" spans="2:5" x14ac:dyDescent="0.3">
      <c r="B58" t="s">
        <v>110</v>
      </c>
      <c r="C58">
        <v>0</v>
      </c>
      <c r="D58" s="7">
        <f>C51</f>
        <v>16.646165832750025</v>
      </c>
      <c r="E58" s="7" t="str">
        <f t="shared" ref="E58:E64" si="0">IF(D58&gt;=C58,"GO","")</f>
        <v>GO</v>
      </c>
    </row>
    <row r="59" spans="2:5" x14ac:dyDescent="0.3">
      <c r="B59" t="s">
        <v>105</v>
      </c>
      <c r="C59">
        <v>-1</v>
      </c>
      <c r="D59" s="7">
        <f>-C55</f>
        <v>-0.38</v>
      </c>
      <c r="E59" s="7" t="str">
        <f t="shared" si="0"/>
        <v>GO</v>
      </c>
    </row>
    <row r="60" spans="2:5" x14ac:dyDescent="0.3">
      <c r="B60" t="s">
        <v>111</v>
      </c>
      <c r="C60">
        <v>-0.2</v>
      </c>
      <c r="D60" s="7">
        <f>C10</f>
        <v>-0.14476843750000001</v>
      </c>
      <c r="E60" s="7" t="str">
        <f t="shared" si="0"/>
        <v>GO</v>
      </c>
    </row>
    <row r="61" spans="2:5" x14ac:dyDescent="0.3">
      <c r="B61" t="s">
        <v>112</v>
      </c>
      <c r="C61">
        <v>-0.1</v>
      </c>
      <c r="D61" s="7">
        <f>C11</f>
        <v>-0.18999999999999995</v>
      </c>
      <c r="E61" s="7" t="str">
        <f t="shared" si="0"/>
        <v/>
      </c>
    </row>
    <row r="62" spans="2:5" x14ac:dyDescent="0.3">
      <c r="B62" t="s">
        <v>113</v>
      </c>
      <c r="C62">
        <v>-0.05</v>
      </c>
      <c r="D62" s="7">
        <f>C12</f>
        <v>-0.12790000000000001</v>
      </c>
      <c r="E62" s="7" t="str">
        <f t="shared" si="0"/>
        <v/>
      </c>
    </row>
    <row r="63" spans="2:5" x14ac:dyDescent="0.3">
      <c r="B63" t="s">
        <v>114</v>
      </c>
      <c r="C63" s="7">
        <f>2*ABS(C53)</f>
        <v>3.94</v>
      </c>
      <c r="D63" s="7">
        <f>C54</f>
        <v>19.389771828620674</v>
      </c>
      <c r="E63" s="7" t="str">
        <f t="shared" si="0"/>
        <v>GO</v>
      </c>
    </row>
    <row r="64" spans="2:5" x14ac:dyDescent="0.3">
      <c r="B64" t="s">
        <v>68</v>
      </c>
      <c r="C64">
        <v>0.8</v>
      </c>
      <c r="D64" s="7">
        <f>C14</f>
        <v>0.58333333333333326</v>
      </c>
      <c r="E64" s="7" t="str">
        <f t="shared" si="0"/>
        <v/>
      </c>
    </row>
    <row r="65" spans="2:5" x14ac:dyDescent="0.3">
      <c r="B65" s="5" t="s">
        <v>115</v>
      </c>
      <c r="E65" s="5">
        <f>COUNTIF(E58:E64,"GO")</f>
        <v>4</v>
      </c>
    </row>
    <row r="66" spans="2:5" x14ac:dyDescent="0.3">
      <c r="B66" t="s">
        <v>109</v>
      </c>
      <c r="C66" s="5" t="str">
        <f>IF(E65&gt;=6,"Go",IF(E65&gt;=4,"Go pilote conditionné","No-Go"))</f>
        <v>Go pilote conditionné</v>
      </c>
    </row>
    <row r="68" spans="2:5" x14ac:dyDescent="0.3">
      <c r="B68" s="2" t="s">
        <v>116</v>
      </c>
    </row>
    <row r="69" spans="2:5" x14ac:dyDescent="0.3">
      <c r="B69" s="2" t="s">
        <v>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Hypothèses</vt:lpstr>
      <vt:lpstr>Résultats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laurent perier</cp:lastModifiedBy>
  <dcterms:created xsi:type="dcterms:W3CDTF">2026-08-31T08:29:55Z</dcterms:created>
  <dcterms:modified xsi:type="dcterms:W3CDTF">2026-08-31T08:30:04Z</dcterms:modified>
</cp:coreProperties>
</file>